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6b7af03e746ce76/Área de Trabalho/"/>
    </mc:Choice>
  </mc:AlternateContent>
  <xr:revisionPtr revIDLastSave="0" documentId="8_{C42CA43E-8E1F-41D5-B4FC-07C7A765C01F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Tabela D 1" sheetId="2" r:id="rId1"/>
    <sheet name="Tabela D 2" sheetId="3" r:id="rId2"/>
    <sheet name="Tabela D 3" sheetId="4" r:id="rId3"/>
    <sheet name="Tabela D 4" sheetId="5" r:id="rId4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2" l="1"/>
  <c r="J27" i="4" l="1"/>
  <c r="J26" i="4"/>
  <c r="J25" i="4"/>
  <c r="J24" i="4"/>
  <c r="J23" i="4"/>
  <c r="J22" i="4"/>
  <c r="J21" i="4"/>
  <c r="J20" i="4"/>
  <c r="J19" i="4"/>
  <c r="J18" i="4"/>
  <c r="J17" i="4"/>
  <c r="J16" i="4"/>
  <c r="K24" i="3" l="1"/>
  <c r="K22" i="3"/>
  <c r="K19" i="3"/>
  <c r="K15" i="3"/>
  <c r="K11" i="3"/>
  <c r="K12" i="3"/>
  <c r="K13" i="3"/>
  <c r="K5" i="3"/>
  <c r="K6" i="3"/>
  <c r="F25" i="2" l="1"/>
  <c r="H25" i="2" s="1"/>
  <c r="F24" i="2"/>
  <c r="H24" i="2" s="1"/>
  <c r="F23" i="2"/>
  <c r="H23" i="2" s="1"/>
  <c r="F22" i="2"/>
  <c r="F21" i="2"/>
  <c r="H21" i="2" s="1"/>
  <c r="F19" i="2"/>
  <c r="H19" i="2" s="1"/>
  <c r="F18" i="2"/>
  <c r="H18" i="2" s="1"/>
  <c r="F16" i="2"/>
  <c r="H16" i="2" s="1"/>
  <c r="F15" i="2"/>
  <c r="H15" i="2" s="1"/>
  <c r="F14" i="2"/>
  <c r="H14" i="2" s="1"/>
  <c r="F12" i="2"/>
  <c r="H12" i="2" s="1"/>
  <c r="F11" i="2"/>
  <c r="H11" i="2" s="1"/>
  <c r="F10" i="2"/>
  <c r="H10" i="2" s="1"/>
  <c r="F8" i="2"/>
  <c r="H8" i="2" s="1"/>
  <c r="F7" i="2"/>
  <c r="K17" i="3" l="1"/>
  <c r="K18" i="3"/>
  <c r="K16" i="3"/>
  <c r="K9" i="3"/>
  <c r="K10" i="3"/>
  <c r="K8" i="3"/>
  <c r="K7" i="3"/>
  <c r="J4" i="3"/>
  <c r="J14" i="3"/>
  <c r="K4" i="3" l="1"/>
  <c r="K26" i="3" s="1"/>
  <c r="F6" i="2" s="1"/>
  <c r="K14" i="3"/>
  <c r="K35" i="3" l="1"/>
  <c r="H6" i="2" s="1"/>
  <c r="J14" i="4"/>
  <c r="J13" i="4"/>
  <c r="J12" i="4"/>
  <c r="J11" i="4"/>
  <c r="J10" i="4"/>
  <c r="J9" i="4"/>
  <c r="J8" i="4"/>
  <c r="J7" i="4"/>
  <c r="J6" i="4"/>
  <c r="J5" i="4"/>
  <c r="K17" i="4" l="1"/>
  <c r="K18" i="4"/>
  <c r="K19" i="4"/>
  <c r="K20" i="4"/>
  <c r="K21" i="4"/>
  <c r="K22" i="4"/>
  <c r="K23" i="4"/>
  <c r="K24" i="4"/>
  <c r="L24" i="4" s="1"/>
  <c r="K25" i="4"/>
  <c r="L25" i="4" s="1"/>
  <c r="K26" i="4"/>
  <c r="L26" i="4" s="1"/>
  <c r="K27" i="4"/>
  <c r="K16" i="4"/>
  <c r="K6" i="4"/>
  <c r="K7" i="4"/>
  <c r="K8" i="4"/>
  <c r="K9" i="4"/>
  <c r="K10" i="4"/>
  <c r="K11" i="4"/>
  <c r="K12" i="4"/>
  <c r="K13" i="4"/>
  <c r="K14" i="4"/>
  <c r="K5" i="4"/>
  <c r="F32" i="5" l="1"/>
  <c r="G7" i="2" s="1"/>
  <c r="E5" i="5"/>
  <c r="E6" i="5"/>
  <c r="G6" i="5" s="1"/>
  <c r="E7" i="5"/>
  <c r="G7" i="5" s="1"/>
  <c r="E8" i="5"/>
  <c r="G8" i="5" s="1"/>
  <c r="E9" i="5"/>
  <c r="G9" i="5" s="1"/>
  <c r="E10" i="5"/>
  <c r="G10" i="5" s="1"/>
  <c r="E11" i="5"/>
  <c r="G11" i="5" s="1"/>
  <c r="E12" i="5"/>
  <c r="G12" i="5" s="1"/>
  <c r="E13" i="5"/>
  <c r="G13" i="5" s="1"/>
  <c r="E14" i="5"/>
  <c r="G14" i="5" s="1"/>
  <c r="E15" i="5"/>
  <c r="G15" i="5" s="1"/>
  <c r="E16" i="5"/>
  <c r="G16" i="5" s="1"/>
  <c r="E17" i="5"/>
  <c r="G17" i="5" s="1"/>
  <c r="E18" i="5"/>
  <c r="G18" i="5" s="1"/>
  <c r="E19" i="5"/>
  <c r="G19" i="5" s="1"/>
  <c r="E20" i="5"/>
  <c r="G20" i="5" s="1"/>
  <c r="E21" i="5"/>
  <c r="G21" i="5" s="1"/>
  <c r="E22" i="5"/>
  <c r="G22" i="5" s="1"/>
  <c r="E23" i="5"/>
  <c r="G23" i="5" s="1"/>
  <c r="E24" i="5"/>
  <c r="G24" i="5" s="1"/>
  <c r="E25" i="5"/>
  <c r="G25" i="5" s="1"/>
  <c r="E26" i="5"/>
  <c r="G26" i="5" s="1"/>
  <c r="E27" i="5"/>
  <c r="G27" i="5" s="1"/>
  <c r="E28" i="5"/>
  <c r="G28" i="5" s="1"/>
  <c r="E29" i="5"/>
  <c r="G29" i="5" s="1"/>
  <c r="E30" i="5"/>
  <c r="G30" i="5" s="1"/>
  <c r="E31" i="5"/>
  <c r="G31" i="5" s="1"/>
  <c r="F17" i="4"/>
  <c r="F18" i="4"/>
  <c r="F19" i="4"/>
  <c r="F20" i="4"/>
  <c r="F21" i="4"/>
  <c r="F22" i="4"/>
  <c r="F23" i="4"/>
  <c r="F24" i="4"/>
  <c r="F25" i="4"/>
  <c r="F26" i="4"/>
  <c r="F27" i="4"/>
  <c r="F28" i="4"/>
  <c r="F16" i="4"/>
  <c r="F6" i="4"/>
  <c r="F7" i="4"/>
  <c r="F8" i="4"/>
  <c r="F9" i="4"/>
  <c r="F10" i="4"/>
  <c r="F11" i="4"/>
  <c r="F12" i="4"/>
  <c r="F13" i="4"/>
  <c r="F14" i="4"/>
  <c r="F5" i="4"/>
  <c r="E14" i="3"/>
  <c r="L14" i="4"/>
  <c r="L13" i="4"/>
  <c r="L11" i="4"/>
  <c r="L10" i="4"/>
  <c r="L9" i="4"/>
  <c r="L7" i="4"/>
  <c r="L6" i="4"/>
  <c r="L5" i="4"/>
  <c r="L22" i="4"/>
  <c r="L21" i="4"/>
  <c r="L20" i="4"/>
  <c r="L17" i="4"/>
  <c r="L16" i="4"/>
  <c r="L18" i="4"/>
  <c r="L19" i="4"/>
  <c r="L23" i="4"/>
  <c r="L27" i="4"/>
  <c r="L8" i="4"/>
  <c r="L12" i="4"/>
  <c r="F29" i="4" l="1"/>
  <c r="E20" i="2" s="1"/>
  <c r="E32" i="5"/>
  <c r="E7" i="2" s="1"/>
  <c r="L29" i="4"/>
  <c r="F20" i="2" s="1"/>
  <c r="H20" i="2" s="1"/>
  <c r="G5" i="5"/>
  <c r="G32" i="5" s="1"/>
  <c r="J25" i="3"/>
  <c r="H7" i="2" l="1"/>
  <c r="I7" i="2" s="1"/>
  <c r="I6" i="2"/>
  <c r="I20" i="2"/>
  <c r="E4" i="3"/>
  <c r="E25" i="3" s="1"/>
  <c r="I8" i="2"/>
  <c r="I10" i="2"/>
  <c r="I11" i="2"/>
  <c r="I12" i="2"/>
  <c r="I14" i="2"/>
  <c r="I15" i="2"/>
  <c r="I16" i="2"/>
  <c r="I18" i="2"/>
  <c r="I19" i="2"/>
  <c r="I21" i="2"/>
  <c r="I22" i="2"/>
  <c r="I23" i="2"/>
  <c r="I24" i="2"/>
  <c r="I25" i="2"/>
  <c r="I17" i="2" l="1"/>
  <c r="I13" i="2"/>
  <c r="I5" i="2"/>
  <c r="I9" i="2"/>
  <c r="I2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rafael.pires</author>
  </authors>
  <commentList>
    <comment ref="F2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rafael.pires:</t>
        </r>
        <r>
          <rPr>
            <sz val="9"/>
            <color indexed="81"/>
            <rFont val="Tahoma"/>
            <family val="2"/>
          </rPr>
          <t xml:space="preserve">
Saindo de Brasília</t>
        </r>
      </text>
    </comment>
  </commentList>
</comments>
</file>

<file path=xl/sharedStrings.xml><?xml version="1.0" encoding="utf-8"?>
<sst xmlns="http://schemas.openxmlformats.org/spreadsheetml/2006/main" count="316" uniqueCount="207">
  <si>
    <t>Item</t>
  </si>
  <si>
    <t>Descrição</t>
  </si>
  <si>
    <t>Quant.</t>
  </si>
  <si>
    <r>
      <t>A.</t>
    </r>
    <r>
      <rPr>
        <b/>
        <sz val="11"/>
        <color rgb="FF000000"/>
        <rFont val="Times New Roman"/>
        <family val="1"/>
      </rPr>
      <t xml:space="preserve">    </t>
    </r>
    <r>
      <rPr>
        <b/>
        <sz val="11"/>
        <color rgb="FF000000"/>
        <rFont val="Arial"/>
        <family val="2"/>
      </rPr>
      <t> </t>
    </r>
  </si>
  <si>
    <t>Produção da UE2022 com a respectiva embalagem</t>
  </si>
  <si>
    <r>
      <t>A.1.</t>
    </r>
    <r>
      <rPr>
        <sz val="11"/>
        <color rgb="FF000000"/>
        <rFont val="Times New Roman"/>
        <family val="1"/>
      </rPr>
      <t xml:space="preserve">  </t>
    </r>
    <r>
      <rPr>
        <sz val="11"/>
        <color rgb="FF000000"/>
        <rFont val="Calibri"/>
        <family val="2"/>
        <scheme val="minor"/>
      </rPr>
      <t> </t>
    </r>
  </si>
  <si>
    <r>
      <t>Serviços</t>
    </r>
    <r>
      <rPr>
        <sz val="11"/>
        <color rgb="FF000000"/>
        <rFont val="Times New Roman"/>
        <family val="1"/>
      </rPr>
      <t> </t>
    </r>
    <r>
      <rPr>
        <sz val="11"/>
        <color rgb="FF000000"/>
        <rFont val="Arial"/>
        <family val="2"/>
      </rPr>
      <t>e componentes de Produção</t>
    </r>
  </si>
  <si>
    <r>
      <t>A.2.</t>
    </r>
    <r>
      <rPr>
        <sz val="11"/>
        <color rgb="FF000000"/>
        <rFont val="Times New Roman"/>
        <family val="1"/>
      </rPr>
      <t xml:space="preserve">  </t>
    </r>
    <r>
      <rPr>
        <sz val="11"/>
        <color rgb="FF000000"/>
        <rFont val="Calibri"/>
        <family val="2"/>
        <scheme val="minor"/>
      </rPr>
      <t> </t>
    </r>
  </si>
  <si>
    <t>Transporte com seguro</t>
  </si>
  <si>
    <t>176.000*</t>
  </si>
  <si>
    <t>A.3</t>
  </si>
  <si>
    <t>Embalagem</t>
  </si>
  <si>
    <r>
      <t>B.</t>
    </r>
    <r>
      <rPr>
        <sz val="11"/>
        <color rgb="FF000000"/>
        <rFont val="Times New Roman"/>
        <family val="1"/>
      </rPr>
      <t xml:space="preserve">    </t>
    </r>
    <r>
      <rPr>
        <sz val="11"/>
        <color rgb="FF000000"/>
        <rFont val="Calibri"/>
        <family val="2"/>
      </rPr>
      <t> </t>
    </r>
  </si>
  <si>
    <t>Desenvolvimento dos modelos da UE2022</t>
  </si>
  <si>
    <t>-</t>
  </si>
  <si>
    <r>
      <t>B.1.</t>
    </r>
    <r>
      <rPr>
        <sz val="11"/>
        <color rgb="FF000000"/>
        <rFont val="Times New Roman"/>
        <family val="1"/>
      </rPr>
      <t xml:space="preserve">  </t>
    </r>
    <r>
      <rPr>
        <sz val="11"/>
        <color rgb="FF000000"/>
        <rFont val="Calibri"/>
        <family val="2"/>
      </rPr>
      <t> </t>
    </r>
  </si>
  <si>
    <t>Desenvolvimento do Modelo de Design</t>
  </si>
  <si>
    <r>
      <t>B.2.</t>
    </r>
    <r>
      <rPr>
        <sz val="11"/>
        <color rgb="FF000000"/>
        <rFont val="Times New Roman"/>
        <family val="1"/>
      </rPr>
      <t xml:space="preserve">  </t>
    </r>
    <r>
      <rPr>
        <sz val="11"/>
        <color rgb="FF000000"/>
        <rFont val="Calibri"/>
        <family val="2"/>
      </rPr>
      <t> </t>
    </r>
  </si>
  <si>
    <t>Desenvolvimento e produção do Conjunto de Modelos de Qualificação</t>
  </si>
  <si>
    <t>1**</t>
  </si>
  <si>
    <r>
      <t>B.3.</t>
    </r>
    <r>
      <rPr>
        <sz val="11"/>
        <color rgb="FF000000"/>
        <rFont val="Times New Roman"/>
        <family val="1"/>
      </rPr>
      <t xml:space="preserve">  </t>
    </r>
    <r>
      <rPr>
        <sz val="11"/>
        <color rgb="FF000000"/>
        <rFont val="Calibri"/>
        <family val="2"/>
      </rPr>
      <t> </t>
    </r>
  </si>
  <si>
    <t>Desenvolvimento e produção dos Modelos de Produção</t>
  </si>
  <si>
    <r>
      <t>C.</t>
    </r>
    <r>
      <rPr>
        <sz val="11"/>
        <color rgb="FF000000"/>
        <rFont val="Times New Roman"/>
        <family val="1"/>
      </rPr>
      <t xml:space="preserve">    </t>
    </r>
    <r>
      <rPr>
        <sz val="11"/>
        <color rgb="FF000000"/>
        <rFont val="Calibri"/>
        <family val="2"/>
      </rPr>
      <t> </t>
    </r>
  </si>
  <si>
    <t>Desenvolvimento de Software e Firmware</t>
  </si>
  <si>
    <r>
      <t>C.1.</t>
    </r>
    <r>
      <rPr>
        <sz val="11"/>
        <color rgb="FF000000"/>
        <rFont val="Times New Roman"/>
        <family val="1"/>
      </rPr>
      <t xml:space="preserve">  </t>
    </r>
    <r>
      <rPr>
        <sz val="11"/>
        <color rgb="FF000000"/>
        <rFont val="Calibri"/>
        <family val="2"/>
      </rPr>
      <t> </t>
    </r>
  </si>
  <si>
    <t>Desenvolvimento de software básico da UE2022 (Drivers e adaptação à API do TSE)</t>
  </si>
  <si>
    <t>C.2.</t>
  </si>
  <si>
    <t>Desenvolvimento da BIOS/UEFI</t>
  </si>
  <si>
    <t>C.3.</t>
  </si>
  <si>
    <t xml:space="preserve">Desenvolvimento de firmwares </t>
  </si>
  <si>
    <r>
      <t>D.</t>
    </r>
    <r>
      <rPr>
        <sz val="11"/>
        <color rgb="FF000000"/>
        <rFont val="Times New Roman"/>
        <family val="1"/>
      </rPr>
      <t xml:space="preserve">    </t>
    </r>
    <r>
      <rPr>
        <sz val="11"/>
        <color rgb="FF000000"/>
        <rFont val="Calibri"/>
        <family val="2"/>
      </rPr>
      <t> </t>
    </r>
  </si>
  <si>
    <t>Fornecimento de Suprimentos</t>
  </si>
  <si>
    <r>
      <t>D.1.</t>
    </r>
    <r>
      <rPr>
        <sz val="11"/>
        <color rgb="FF000000"/>
        <rFont val="Times New Roman"/>
        <family val="1"/>
      </rPr>
      <t xml:space="preserve">  </t>
    </r>
    <r>
      <rPr>
        <sz val="11"/>
        <color rgb="FF000000"/>
        <rFont val="Calibri"/>
        <family val="2"/>
      </rPr>
      <t> </t>
    </r>
  </si>
  <si>
    <t>Mídia de Aplicação</t>
  </si>
  <si>
    <r>
      <t>D.2.</t>
    </r>
    <r>
      <rPr>
        <sz val="11"/>
        <color rgb="FF000000"/>
        <rFont val="Times New Roman"/>
        <family val="1"/>
      </rPr>
      <t xml:space="preserve">  </t>
    </r>
    <r>
      <rPr>
        <sz val="11"/>
        <color rgb="FF000000"/>
        <rFont val="Calibri"/>
        <family val="2"/>
      </rPr>
      <t> </t>
    </r>
  </si>
  <si>
    <t>Mídia de Resultado</t>
  </si>
  <si>
    <t>G.     </t>
  </si>
  <si>
    <t>Projeto da Embalagem</t>
  </si>
  <si>
    <t>1***</t>
  </si>
  <si>
    <t>H.</t>
  </si>
  <si>
    <t>Treinamento - kits de desenvolvimento de firmwares</t>
  </si>
  <si>
    <t>192****</t>
  </si>
  <si>
    <t>I.</t>
  </si>
  <si>
    <t>Documentos Técnicos</t>
  </si>
  <si>
    <t>J.</t>
  </si>
  <si>
    <t>Certificação INMETRO do MSE para ICP-Brasil</t>
  </si>
  <si>
    <t>K.</t>
  </si>
  <si>
    <t>Valor anual da Garantia Estendida (por urna)</t>
  </si>
  <si>
    <t>1*****</t>
  </si>
  <si>
    <t>Valor Global da Proposta (VP)</t>
  </si>
  <si>
    <t>* Para indicar o valor do Transporte com Seguro, a  licitante deverá multiplicar o quantitativo de UE2022 pelo maior valor resultante da soma do Frete e Seguro dentre as Unidades da Federação.</t>
  </si>
  <si>
    <t>** Considerar o previsto nos itens 40.4, 40.5 e 40.6.</t>
  </si>
  <si>
    <t>*** Considerar o previsto na seção referente a Embalagem do Anexo II – Especificações Técnicas – Hardware</t>
  </si>
  <si>
    <t xml:space="preserve">**** Treinamento citado no Anexo IV e contempla 8 pessoas, com pelo menos 24 horas por pessoa, e deverá ser indicado o valor da hora aula na coluna Valor Unitário e o valor total das 192 (cento e noventa e duas) horas na coluna Valor Total. </t>
  </si>
  <si>
    <t>***** Considerar o previsto na seção Garantia Estendida do Anexo V – Garantia e Manutenção. O valor deverá ser informado de maneira unitária.</t>
  </si>
  <si>
    <t>Terminal do Eleitor – TE</t>
  </si>
  <si>
    <t>Gabinete</t>
  </si>
  <si>
    <t>Display TE</t>
  </si>
  <si>
    <t>Teclado TE</t>
  </si>
  <si>
    <t>Fonte de Alimentação</t>
  </si>
  <si>
    <t>Módulo Impressor de Relatórios</t>
  </si>
  <si>
    <t>Terminal do Mesário – TM</t>
  </si>
  <si>
    <t>Display do TM</t>
  </si>
  <si>
    <t>Leitor Biométrico</t>
  </si>
  <si>
    <t>Outros componentes:</t>
  </si>
  <si>
    <t>Serviços (considerar todos os serviços necessários para montar a UE2022)</t>
  </si>
  <si>
    <t>TOTAL</t>
  </si>
  <si>
    <r>
      <t>5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</rPr>
      <t> </t>
    </r>
  </si>
  <si>
    <t>Cotação do dólar considerado pela licitante (US$) =</t>
  </si>
  <si>
    <t>Tipo do dólar, data e fonte da cotação =</t>
  </si>
  <si>
    <t>Descrição das peças de reposição das UE2022</t>
  </si>
  <si>
    <t>Quantidade</t>
  </si>
  <si>
    <t>Preço Total (R$)</t>
  </si>
  <si>
    <r>
      <t>1.</t>
    </r>
    <r>
      <rPr>
        <b/>
        <sz val="11"/>
        <color rgb="FF000000"/>
        <rFont val="Times New Roman"/>
        <family val="1"/>
      </rPr>
      <t xml:space="preserve">            </t>
    </r>
    <r>
      <rPr>
        <b/>
        <sz val="11"/>
        <color rgb="FF000000"/>
        <rFont val="Arial"/>
        <family val="2"/>
      </rPr>
      <t> </t>
    </r>
  </si>
  <si>
    <t>PEÇAS FUNCIONAIS</t>
  </si>
  <si>
    <r>
      <t>1.1.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</si>
  <si>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Placa-mãe</t>
  </si>
  <si>
    <r>
      <t>1.2.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</si>
  <si>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Fonte de alimentação</t>
  </si>
  <si>
    <r>
      <t>1.3.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</si>
  <si>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Display do Terminal do Eleitor</t>
  </si>
  <si>
    <r>
      <t>1.4.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</si>
  <si>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Terminal do Mesário completo</t>
  </si>
  <si>
    <r>
      <t>1.5.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</si>
  <si>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r>
      <t>1.6.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</si>
  <si>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Teclado</t>
  </si>
  <si>
    <r>
      <t>1.7.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</si>
  <si>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Display do TM com Touch</t>
  </si>
  <si>
    <r>
      <t>1.8.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</si>
  <si>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r>
      <t>1.9.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</si>
  <si>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Cabo AC</t>
  </si>
  <si>
    <r>
      <t>1.10.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</si>
  <si>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Cabo de comunicação entre TE e TM</t>
  </si>
  <si>
    <r>
      <t>2.</t>
    </r>
    <r>
      <rPr>
        <b/>
        <sz val="11"/>
        <color rgb="FF000000"/>
        <rFont val="Times New Roman"/>
        <family val="1"/>
      </rPr>
      <t xml:space="preserve">            </t>
    </r>
    <r>
      <rPr>
        <b/>
        <sz val="11"/>
        <color rgb="FF000000"/>
        <rFont val="Arial"/>
        <family val="2"/>
      </rPr>
      <t> </t>
    </r>
  </si>
  <si>
    <t>PEÇAS NÃO FUNCIONAIS</t>
  </si>
  <si>
    <r>
      <t>2.1.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</si>
  <si>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Conjunto Gabinete do Terminal do Eleitor*</t>
  </si>
  <si>
    <r>
      <t>2.2.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</si>
  <si>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Mecanismo de proteção física do Drive da Mídia de Aplicação</t>
  </si>
  <si>
    <r>
      <t>2.3.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</si>
  <si>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Mecanismo de proteção física do Drive da Mídia de Resultado</t>
  </si>
  <si>
    <r>
      <t>2.4.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</si>
  <si>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Mecanismo de proteção física da Bateria Interna</t>
  </si>
  <si>
    <r>
      <t>2.5.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</si>
  <si>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Mecanismo para proteção das interfaces de acoplamento do TE</t>
  </si>
  <si>
    <r>
      <t>2.6.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</si>
  <si>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Conjunto Gabinete do Terminal do Mesário**</t>
  </si>
  <si>
    <r>
      <t>2.7.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</si>
  <si>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Conjunto de Pés de borracha do Terminal do Eleitor***</t>
  </si>
  <si>
    <r>
      <t>2.8.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</si>
  <si>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Conjunto de Pés de borracha do Terminal do Mesário****</t>
  </si>
  <si>
    <r>
      <t>2.9.</t>
    </r>
    <r>
      <rPr>
        <sz val="11"/>
        <color rgb="FF000000"/>
        <rFont val="Times New Roman"/>
        <family val="1"/>
      </rPr>
      <t xml:space="preserve">      </t>
    </r>
    <r>
      <rPr>
        <sz val="11"/>
        <color rgb="FF000000"/>
        <rFont val="Arial"/>
        <family val="2"/>
      </rPr>
      <t> </t>
    </r>
  </si>
  <si>
    <t>Mecanismo de proteção física dos Bornes da Bateria</t>
  </si>
  <si>
    <r>
      <t>2.10.</t>
    </r>
    <r>
      <rPr>
        <sz val="11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> </t>
    </r>
  </si>
  <si>
    <t>Mecanismo para proteção das interfaces de acoplamento do TM</t>
  </si>
  <si>
    <r>
      <t>2.11.</t>
    </r>
    <r>
      <rPr>
        <sz val="11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> </t>
    </r>
  </si>
  <si>
    <t xml:space="preserve">Protetor do display do Terminal do Eleitor </t>
  </si>
  <si>
    <r>
      <t>2.12.</t>
    </r>
    <r>
      <rPr>
        <sz val="11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> </t>
    </r>
  </si>
  <si>
    <t>Fio de nylon fixa tampa*****</t>
  </si>
  <si>
    <t xml:space="preserve"> 2.13.</t>
  </si>
  <si>
    <t>Adesivos ou plaquetas de patrimônio</t>
  </si>
  <si>
    <r>
      <t>TOTAL (item E – Tabela D‑1: Planilha de preços gerais</t>
    </r>
    <r>
      <rPr>
        <b/>
        <u/>
        <sz val="11"/>
        <color rgb="FF000000"/>
        <rFont val="Arial"/>
        <family val="2"/>
      </rPr>
      <t>)</t>
    </r>
  </si>
  <si>
    <t>* formado pelo conjunto de peças plásticas principais para a formação do Gabinete do TE, conforme conceito definido no Anexo II</t>
  </si>
  <si>
    <t>** formado pelo conjunto de peças plásticas principais para a formação do Gabinete do TM</t>
  </si>
  <si>
    <t>*** cada conjunto contempla a quantidade de pés de borracha para um Terminal do Eleitor</t>
  </si>
  <si>
    <t>**** cada conjunto contempla a quantidade de pés de borracha para um Terminal do Mesário</t>
  </si>
  <si>
    <t>***** Caso não haja fio de nylon no projeto, o valor unitário deverá ser "N/A"</t>
  </si>
  <si>
    <r>
      <t>Obs</t>
    </r>
    <r>
      <rPr>
        <sz val="11"/>
        <color rgb="FF000000"/>
        <rFont val="Arial"/>
        <family val="2"/>
      </rPr>
      <t>: Quando o mecanismo de proteção demandar uso de ferramenta para sua retirada, conforme Anexo II, a respectiva peça deverá ser entregue com o respectivo parafuso e anel elástico.</t>
    </r>
  </si>
  <si>
    <t>Unidade da Federação</t>
  </si>
  <si>
    <t>Valor unitário do Frete</t>
  </si>
  <si>
    <t>Valor unitário do Seguro</t>
  </si>
  <si>
    <t>ACRE</t>
  </si>
  <si>
    <t>ALAGOAS</t>
  </si>
  <si>
    <t>AMAPÁ</t>
  </si>
  <si>
    <t>AMAZONAS</t>
  </si>
  <si>
    <t>BAHIA</t>
  </si>
  <si>
    <t>CEARÁ</t>
  </si>
  <si>
    <t>DISTRITO FEDERAL</t>
  </si>
  <si>
    <t>ESPÍRITO SANTO</t>
  </si>
  <si>
    <t>GOIÁS</t>
  </si>
  <si>
    <t>MARANHÃO</t>
  </si>
  <si>
    <t>MATO GROSSO</t>
  </si>
  <si>
    <t>MATO GROSSO DO SUL</t>
  </si>
  <si>
    <t>MINAS GERAIS</t>
  </si>
  <si>
    <t>PARÁ</t>
  </si>
  <si>
    <t>PARAÍBA</t>
  </si>
  <si>
    <t>PARANÁ</t>
  </si>
  <si>
    <t>PERNAMBUCO</t>
  </si>
  <si>
    <t>PIAUÍ</t>
  </si>
  <si>
    <t>RIO DE JANEIRO</t>
  </si>
  <si>
    <t>RIO GRANDE DO NORTE</t>
  </si>
  <si>
    <t>RIO GRANDE DO SUL</t>
  </si>
  <si>
    <t>RONDÔNIA</t>
  </si>
  <si>
    <t>RORAIMA</t>
  </si>
  <si>
    <t>SANTA CATARINA</t>
  </si>
  <si>
    <t>SÃO PAULO</t>
  </si>
  <si>
    <t>SERGIPE</t>
  </si>
  <si>
    <t>TOCANTINS</t>
  </si>
  <si>
    <t>Valor Unitário (em R$)</t>
  </si>
  <si>
    <t>Positivo</t>
  </si>
  <si>
    <t>Cabos internos</t>
  </si>
  <si>
    <t>Bateria</t>
  </si>
  <si>
    <r>
      <t>1.1</t>
    </r>
    <r>
      <rPr>
        <b/>
        <sz val="7"/>
        <color theme="1"/>
        <rFont val="Times New Roman"/>
        <family val="1"/>
      </rPr>
      <t/>
    </r>
  </si>
  <si>
    <r>
      <t>1.2</t>
    </r>
    <r>
      <rPr>
        <b/>
        <sz val="7"/>
        <color theme="1"/>
        <rFont val="Times New Roman"/>
        <family val="1"/>
      </rPr>
      <t/>
    </r>
  </si>
  <si>
    <r>
      <t>1.3</t>
    </r>
    <r>
      <rPr>
        <b/>
        <sz val="7"/>
        <color theme="1"/>
        <rFont val="Times New Roman"/>
        <family val="1"/>
      </rPr>
      <t/>
    </r>
  </si>
  <si>
    <r>
      <t>1.4</t>
    </r>
    <r>
      <rPr>
        <b/>
        <sz val="7"/>
        <color theme="1"/>
        <rFont val="Times New Roman"/>
        <family val="1"/>
      </rPr>
      <t/>
    </r>
  </si>
  <si>
    <r>
      <t>1.5</t>
    </r>
    <r>
      <rPr>
        <b/>
        <sz val="7"/>
        <color theme="1"/>
        <rFont val="Times New Roman"/>
        <family val="1"/>
      </rPr>
      <t/>
    </r>
  </si>
  <si>
    <r>
      <t>1.8</t>
    </r>
    <r>
      <rPr>
        <b/>
        <sz val="7"/>
        <color theme="1"/>
        <rFont val="Times New Roman"/>
        <family val="1"/>
      </rPr>
      <t/>
    </r>
  </si>
  <si>
    <r>
      <t>1.9</t>
    </r>
    <r>
      <rPr>
        <b/>
        <sz val="7"/>
        <color theme="1"/>
        <rFont val="Times New Roman"/>
        <family val="1"/>
      </rPr>
      <t/>
    </r>
  </si>
  <si>
    <t>Cabos externos</t>
  </si>
  <si>
    <r>
      <t>1.6</t>
    </r>
    <r>
      <rPr>
        <b/>
        <sz val="7"/>
        <color theme="1"/>
        <rFont val="Times New Roman"/>
        <family val="1"/>
      </rPr>
      <t/>
    </r>
  </si>
  <si>
    <r>
      <t>1.7</t>
    </r>
    <r>
      <rPr>
        <b/>
        <sz val="7"/>
        <color theme="1"/>
        <rFont val="Times New Roman"/>
        <family val="1"/>
      </rPr>
      <t/>
    </r>
  </si>
  <si>
    <t>2.1</t>
  </si>
  <si>
    <t>2.2</t>
  </si>
  <si>
    <t>2.3</t>
  </si>
  <si>
    <t>2.4</t>
  </si>
  <si>
    <t>2.5</t>
  </si>
  <si>
    <t>Placa</t>
  </si>
  <si>
    <t>Cabo Comunicação TE-TM</t>
  </si>
  <si>
    <t>Display do TM com TouchScreen</t>
  </si>
  <si>
    <t>Placas</t>
  </si>
  <si>
    <t>Embalagem (Incluso Tabela D-1)</t>
  </si>
  <si>
    <t>Preço Unitário Empresa Positivo</t>
  </si>
  <si>
    <t>Contrato TSE nº 56/2020</t>
  </si>
  <si>
    <t>Total (média)</t>
  </si>
  <si>
    <t>Média</t>
  </si>
  <si>
    <t>ESTIMATIVA URNAS ELETRÔNICAS - 2022</t>
  </si>
  <si>
    <t>SEI 2020.00.000007979-5</t>
  </si>
  <si>
    <t>Valor Total (em R$)</t>
  </si>
  <si>
    <t>ESTIMATIVA TRANSPORTE (FRETE + SEGURO)</t>
  </si>
  <si>
    <t>COTAÇÃO POSITIVO</t>
  </si>
  <si>
    <t>(Frete + Seguro)</t>
  </si>
  <si>
    <t>Cotação Positivo</t>
  </si>
  <si>
    <r>
      <t>E.</t>
    </r>
    <r>
      <rPr>
        <sz val="11"/>
        <rFont val="Times New Roman"/>
        <family val="1"/>
      </rPr>
      <t xml:space="preserve">    </t>
    </r>
    <r>
      <rPr>
        <sz val="11"/>
        <rFont val="Calibri"/>
        <family val="2"/>
      </rPr>
      <t> </t>
    </r>
  </si>
  <si>
    <r>
      <t xml:space="preserve">Fornecimento de Peças de Reposição (total da </t>
    </r>
    <r>
      <rPr>
        <b/>
        <u/>
        <sz val="11"/>
        <rFont val="Arial"/>
        <family val="2"/>
      </rPr>
      <t>Tabela D-3</t>
    </r>
    <r>
      <rPr>
        <u/>
        <sz val="11"/>
        <rFont val="Arial"/>
        <family val="2"/>
      </rPr>
      <t>: Planilha de preços de peças de reposição</t>
    </r>
    <r>
      <rPr>
        <b/>
        <sz val="11"/>
        <rFont val="Arial"/>
        <family val="2"/>
      </rPr>
      <t>)</t>
    </r>
  </si>
  <si>
    <t>ARP TSE nº 53/2020</t>
  </si>
  <si>
    <t xml:space="preserve">ARP TSE nº 53/2020  </t>
  </si>
  <si>
    <t>Cotação do dólar considerado pela licitante (17/01/2020)
Proposta de Preços da ARP TSE nº 53/2020 =</t>
  </si>
  <si>
    <t>PEÇAS FUNCIONAIS (Atualizado pela variação cambial do dólar)</t>
  </si>
  <si>
    <t xml:space="preserve">ARP TSE nº 53/2020 
</t>
  </si>
  <si>
    <t>VALOR TOTAL ATUALIZADO</t>
  </si>
  <si>
    <t>Índice de Preços ao Consumidor Amplo - IPCA/IBGE</t>
  </si>
  <si>
    <t>Jan/2020 a Jan/2021</t>
  </si>
  <si>
    <t>Cotação do dólar atual (1º/03/2021) =</t>
  </si>
  <si>
    <t>OBS: Itens 1 e 2 atualizados pelo dólar; itens 4 e 5 atualizados pelo IPCA.</t>
  </si>
  <si>
    <t>Valores Atualizados
(Variação dólar de 17/1/20 a 1/3/21)</t>
  </si>
  <si>
    <t xml:space="preserve">Preço Unitário da ARP TSE nº 53/2020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</si>
</sst>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$-409]* #,##0.0000_ ;_-[$$-409]* \-#,##0.0000\ ;_-[$$-409]* &quot;-&quot;??_ ;_-@_ "/>
    <numFmt numFmtId="165" formatCode="_-&quot;R$&quot;\ * #,##0.0000_-;\-&quot;R$&quot;\ * #,##0.0000_-;_-&quot;R$&quot;\ * &quot;-&quot;????_-;_-@_-"/>
    <numFmt numFmtId="166" formatCode="_-&quot;R$&quot;\ * #,##0.00_-;\-&quot;R$&quot;\ * #,##0.00_-;_-&quot;R$&quot;\ * &quot;-&quot;????_-;_-@_-"/>
  </numFmts>
  <fonts count="33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rgb="FF000000"/>
      <name val="Times New Roman"/>
      <family val="1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Arial"/>
      <family val="2"/>
    </font>
    <font>
      <sz val="10"/>
      <color theme="1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Arial"/>
      <family val="2"/>
    </font>
    <font>
      <sz val="8"/>
      <color theme="1"/>
      <name val="Calibri"/>
      <family val="2"/>
    </font>
    <font>
      <b/>
      <sz val="7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rgb="FF000000"/>
      <name val="Arial"/>
      <family val="2"/>
    </font>
    <font>
      <b/>
      <sz val="14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sz val="11"/>
      <name val="Times New Roman"/>
      <family val="1"/>
    </font>
    <font>
      <sz val="11"/>
      <name val="Calibri"/>
      <family val="2"/>
    </font>
    <font>
      <b/>
      <u/>
      <sz val="11"/>
      <name val="Arial"/>
      <family val="2"/>
    </font>
    <font>
      <u/>
      <sz val="1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b/>
      <sz val="12"/>
      <color rgb="FF000000"/>
      <name val="Cambria"/>
      <family val="1"/>
    </font>
    <font>
      <sz val="12"/>
      <color rgb="FF000000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4">
    <xf numFmtId="0" fontId="0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89">
    <xf numFmtId="0" fontId="0" fillId="0" borderId="0" xfId="0"/>
    <xf numFmtId="0" fontId="3" fillId="3" borderId="3" xfId="0" applyFont="1" applyFill="1" applyBorder="1"/>
    <xf numFmtId="0" fontId="3" fillId="3" borderId="4" xfId="0" applyFont="1" applyFill="1" applyBorder="1" applyAlignment="1">
      <alignment wrapText="1"/>
    </xf>
    <xf numFmtId="0" fontId="3" fillId="3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vertical="top" wrapText="1"/>
    </xf>
    <xf numFmtId="0" fontId="9" fillId="0" borderId="4" xfId="0" applyFont="1" applyBorder="1" applyAlignment="1">
      <alignment horizontal="justify" vertical="top" wrapText="1"/>
    </xf>
    <xf numFmtId="0" fontId="10" fillId="0" borderId="14" xfId="0" applyFont="1" applyBorder="1" applyAlignment="1">
      <alignment vertical="top" wrapText="1"/>
    </xf>
    <xf numFmtId="0" fontId="1" fillId="2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44" fontId="7" fillId="3" borderId="4" xfId="1" applyFont="1" applyFill="1" applyBorder="1" applyAlignment="1">
      <alignment horizontal="center" vertical="center" wrapText="1"/>
    </xf>
    <xf numFmtId="44" fontId="3" fillId="3" borderId="4" xfId="1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vertical="center" wrapText="1"/>
    </xf>
    <xf numFmtId="3" fontId="4" fillId="6" borderId="4" xfId="0" applyNumberFormat="1" applyFont="1" applyFill="1" applyBorder="1" applyAlignment="1">
      <alignment horizontal="center" vertical="center" wrapText="1"/>
    </xf>
    <xf numFmtId="44" fontId="4" fillId="6" borderId="4" xfId="1" applyFont="1" applyFill="1" applyBorder="1" applyAlignment="1">
      <alignment horizontal="center" vertical="center" wrapText="1"/>
    </xf>
    <xf numFmtId="44" fontId="3" fillId="3" borderId="4" xfId="0" applyNumberFormat="1" applyFont="1" applyFill="1" applyBorder="1" applyAlignment="1">
      <alignment horizontal="center" vertical="center" wrapText="1"/>
    </xf>
    <xf numFmtId="44" fontId="1" fillId="4" borderId="4" xfId="0" applyNumberFormat="1" applyFont="1" applyFill="1" applyBorder="1" applyAlignment="1">
      <alignment horizontal="center" vertical="center" wrapText="1"/>
    </xf>
    <xf numFmtId="44" fontId="1" fillId="4" borderId="4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44" fontId="1" fillId="4" borderId="3" xfId="0" applyNumberFormat="1" applyFont="1" applyFill="1" applyBorder="1" applyAlignment="1">
      <alignment horizontal="center" vertical="center" wrapText="1"/>
    </xf>
    <xf numFmtId="44" fontId="17" fillId="5" borderId="4" xfId="0" applyNumberFormat="1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right" vertical="top" wrapText="1" indent="3"/>
    </xf>
    <xf numFmtId="44" fontId="0" fillId="0" borderId="0" xfId="0" applyNumberFormat="1"/>
    <xf numFmtId="0" fontId="10" fillId="3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4" fontId="10" fillId="0" borderId="4" xfId="1" applyFont="1" applyBorder="1" applyAlignment="1">
      <alignment horizontal="justify" vertical="top" wrapText="1"/>
    </xf>
    <xf numFmtId="44" fontId="8" fillId="0" borderId="4" xfId="1" applyFont="1" applyBorder="1" applyAlignment="1">
      <alignment vertical="top" wrapText="1"/>
    </xf>
    <xf numFmtId="44" fontId="9" fillId="0" borderId="4" xfId="1" applyFont="1" applyBorder="1" applyAlignment="1">
      <alignment horizontal="justify" vertical="top" wrapText="1"/>
    </xf>
    <xf numFmtId="0" fontId="10" fillId="0" borderId="1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justify" vertical="top" wrapText="1"/>
    </xf>
    <xf numFmtId="44" fontId="10" fillId="7" borderId="4" xfId="1" applyFont="1" applyFill="1" applyBorder="1" applyAlignment="1">
      <alignment horizontal="justify" vertical="top" wrapText="1"/>
    </xf>
    <xf numFmtId="44" fontId="10" fillId="7" borderId="2" xfId="1" applyFont="1" applyFill="1" applyBorder="1" applyAlignment="1">
      <alignment horizontal="justify" vertical="top" wrapText="1"/>
    </xf>
    <xf numFmtId="0" fontId="10" fillId="6" borderId="14" xfId="0" applyFont="1" applyFill="1" applyBorder="1" applyAlignment="1">
      <alignment horizontal="center" vertical="center" wrapText="1"/>
    </xf>
    <xf numFmtId="44" fontId="10" fillId="6" borderId="4" xfId="0" applyNumberFormat="1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left" vertical="center" wrapText="1"/>
    </xf>
    <xf numFmtId="44" fontId="10" fillId="6" borderId="4" xfId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7" borderId="4" xfId="0" applyFont="1" applyFill="1" applyBorder="1" applyAlignment="1">
      <alignment horizontal="justify" vertical="top" wrapText="1"/>
    </xf>
    <xf numFmtId="44" fontId="9" fillId="7" borderId="4" xfId="1" applyFont="1" applyFill="1" applyBorder="1" applyAlignment="1">
      <alignment horizontal="justify" vertical="top" wrapText="1"/>
    </xf>
    <xf numFmtId="44" fontId="9" fillId="7" borderId="2" xfId="1" applyFont="1" applyFill="1" applyBorder="1" applyAlignment="1">
      <alignment horizontal="justify" vertical="top" wrapText="1"/>
    </xf>
    <xf numFmtId="0" fontId="9" fillId="7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0" fillId="0" borderId="1" xfId="0" applyBorder="1"/>
    <xf numFmtId="0" fontId="10" fillId="6" borderId="1" xfId="0" applyFont="1" applyFill="1" applyBorder="1" applyAlignment="1">
      <alignment horizontal="center" vertical="center" wrapText="1"/>
    </xf>
    <xf numFmtId="44" fontId="10" fillId="6" borderId="4" xfId="1" applyFont="1" applyFill="1" applyBorder="1" applyAlignment="1">
      <alignment horizontal="left" vertical="center" wrapText="1"/>
    </xf>
    <xf numFmtId="44" fontId="10" fillId="6" borderId="1" xfId="1" applyFont="1" applyFill="1" applyBorder="1" applyAlignment="1">
      <alignment horizontal="center" vertical="center" wrapText="1"/>
    </xf>
    <xf numFmtId="44" fontId="19" fillId="3" borderId="15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/>
    </xf>
    <xf numFmtId="3" fontId="3" fillId="3" borderId="4" xfId="0" applyNumberFormat="1" applyFont="1" applyFill="1" applyBorder="1" applyAlignment="1">
      <alignment horizontal="center" wrapText="1"/>
    </xf>
    <xf numFmtId="44" fontId="3" fillId="3" borderId="4" xfId="1" applyFont="1" applyFill="1" applyBorder="1" applyAlignment="1">
      <alignment horizontal="center"/>
    </xf>
    <xf numFmtId="44" fontId="3" fillId="3" borderId="4" xfId="0" applyNumberFormat="1" applyFont="1" applyFill="1" applyBorder="1" applyAlignment="1">
      <alignment horizontal="center" wrapText="1"/>
    </xf>
    <xf numFmtId="44" fontId="0" fillId="0" borderId="0" xfId="1" applyFont="1"/>
    <xf numFmtId="44" fontId="1" fillId="8" borderId="4" xfId="1" applyFont="1" applyFill="1" applyBorder="1" applyAlignment="1">
      <alignment horizontal="center" vertical="center" wrapText="1"/>
    </xf>
    <xf numFmtId="44" fontId="1" fillId="2" borderId="4" xfId="0" applyNumberFormat="1" applyFont="1" applyFill="1" applyBorder="1" applyAlignment="1">
      <alignment horizontal="center" wrapText="1"/>
    </xf>
    <xf numFmtId="44" fontId="15" fillId="0" borderId="4" xfId="1" applyFont="1" applyBorder="1" applyAlignment="1">
      <alignment horizontal="left" vertical="top" wrapText="1"/>
    </xf>
    <xf numFmtId="44" fontId="15" fillId="0" borderId="4" xfId="0" applyNumberFormat="1" applyFont="1" applyBorder="1" applyAlignment="1">
      <alignment horizontal="left" vertical="top" wrapText="1"/>
    </xf>
    <xf numFmtId="44" fontId="16" fillId="0" borderId="1" xfId="0" applyNumberFormat="1" applyFont="1" applyBorder="1"/>
    <xf numFmtId="44" fontId="0" fillId="0" borderId="1" xfId="0" applyNumberFormat="1" applyBorder="1"/>
    <xf numFmtId="0" fontId="0" fillId="0" borderId="0" xfId="0" applyBorder="1"/>
    <xf numFmtId="0" fontId="16" fillId="0" borderId="0" xfId="0" applyFont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0" fontId="22" fillId="0" borderId="0" xfId="0" applyFont="1"/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vertical="center" wrapText="1"/>
    </xf>
    <xf numFmtId="0" fontId="23" fillId="4" borderId="4" xfId="0" applyFont="1" applyFill="1" applyBorder="1" applyAlignment="1">
      <alignment horizontal="center" vertical="center" wrapText="1"/>
    </xf>
    <xf numFmtId="44" fontId="23" fillId="4" borderId="4" xfId="1" applyFont="1" applyFill="1" applyBorder="1" applyAlignment="1">
      <alignment horizontal="center" vertical="center" wrapText="1"/>
    </xf>
    <xf numFmtId="44" fontId="23" fillId="8" borderId="4" xfId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4" fontId="28" fillId="3" borderId="4" xfId="1" applyFont="1" applyFill="1" applyBorder="1" applyAlignment="1">
      <alignment horizontal="center"/>
    </xf>
    <xf numFmtId="0" fontId="28" fillId="3" borderId="4" xfId="0" applyFont="1" applyFill="1" applyBorder="1" applyAlignment="1">
      <alignment horizontal="center" wrapText="1"/>
    </xf>
    <xf numFmtId="44" fontId="28" fillId="3" borderId="4" xfId="0" applyNumberFormat="1" applyFont="1" applyFill="1" applyBorder="1" applyAlignment="1">
      <alignment horizont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/>
    <xf numFmtId="0" fontId="10" fillId="0" borderId="0" xfId="0" applyFont="1" applyBorder="1" applyAlignment="1">
      <alignment horizontal="center" vertical="center" wrapText="1"/>
    </xf>
    <xf numFmtId="44" fontId="23" fillId="4" borderId="4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Border="1" applyAlignment="1">
      <alignment horizontal="center" vertical="top" wrapText="1"/>
    </xf>
    <xf numFmtId="14" fontId="10" fillId="0" borderId="4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44" fontId="30" fillId="3" borderId="4" xfId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left" vertical="center" wrapText="1"/>
    </xf>
    <xf numFmtId="44" fontId="10" fillId="0" borderId="6" xfId="1" applyFont="1" applyBorder="1" applyAlignment="1">
      <alignment horizontal="justify" vertical="top" wrapText="1"/>
    </xf>
    <xf numFmtId="44" fontId="19" fillId="3" borderId="1" xfId="0" applyNumberFormat="1" applyFont="1" applyFill="1" applyBorder="1" applyAlignment="1">
      <alignment horizontal="right" vertical="center" wrapText="1"/>
    </xf>
    <xf numFmtId="0" fontId="19" fillId="3" borderId="8" xfId="0" applyFont="1" applyFill="1" applyBorder="1" applyAlignment="1">
      <alignment horizontal="right" vertical="center" wrapText="1"/>
    </xf>
    <xf numFmtId="166" fontId="0" fillId="0" borderId="1" xfId="0" applyNumberFormat="1" applyFill="1" applyBorder="1"/>
    <xf numFmtId="0" fontId="0" fillId="0" borderId="1" xfId="0" applyFill="1" applyBorder="1"/>
    <xf numFmtId="44" fontId="10" fillId="6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44" fontId="10" fillId="6" borderId="1" xfId="1" applyFont="1" applyFill="1" applyBorder="1" applyAlignment="1">
      <alignment horizontal="left" vertical="center" wrapText="1"/>
    </xf>
    <xf numFmtId="10" fontId="16" fillId="0" borderId="2" xfId="0" applyNumberFormat="1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0" xfId="0" applyFont="1" applyAlignment="1">
      <alignment vertical="center" wrapText="1"/>
    </xf>
    <xf numFmtId="44" fontId="4" fillId="3" borderId="4" xfId="1" applyFont="1" applyFill="1" applyBorder="1" applyAlignment="1">
      <alignment horizontal="center" vertical="center" wrapText="1"/>
    </xf>
    <xf numFmtId="9" fontId="0" fillId="0" borderId="0" xfId="2" applyFont="1"/>
    <xf numFmtId="166" fontId="0" fillId="0" borderId="0" xfId="0" applyNumberFormat="1"/>
    <xf numFmtId="44" fontId="16" fillId="0" borderId="0" xfId="0" applyNumberFormat="1" applyFont="1" applyBorder="1" applyAlignment="1">
      <alignment horizontal="center" vertical="center" wrapText="1"/>
    </xf>
    <xf numFmtId="44" fontId="10" fillId="0" borderId="2" xfId="1" applyFont="1" applyBorder="1" applyAlignment="1">
      <alignment horizontal="center" vertical="center" wrapText="1"/>
    </xf>
    <xf numFmtId="44" fontId="19" fillId="6" borderId="1" xfId="0" applyNumberFormat="1" applyFont="1" applyFill="1" applyBorder="1" applyAlignment="1">
      <alignment horizontal="right" vertical="center" wrapText="1"/>
    </xf>
    <xf numFmtId="43" fontId="0" fillId="0" borderId="0" xfId="3" applyFont="1"/>
    <xf numFmtId="4" fontId="31" fillId="0" borderId="0" xfId="0" applyNumberFormat="1" applyFont="1"/>
    <xf numFmtId="0" fontId="29" fillId="0" borderId="0" xfId="0" applyFont="1" applyBorder="1" applyAlignment="1">
      <alignment vertical="center"/>
    </xf>
    <xf numFmtId="0" fontId="29" fillId="0" borderId="0" xfId="0" applyFont="1" applyBorder="1" applyAlignment="1">
      <alignment horizontal="center" vertical="center" wrapText="1"/>
    </xf>
    <xf numFmtId="10" fontId="29" fillId="0" borderId="0" xfId="0" applyNumberFormat="1" applyFont="1" applyBorder="1" applyAlignment="1">
      <alignment vertical="center"/>
    </xf>
    <xf numFmtId="4" fontId="32" fillId="0" borderId="0" xfId="0" applyNumberFormat="1" applyFont="1"/>
    <xf numFmtId="44" fontId="23" fillId="3" borderId="4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0" xfId="0" applyFont="1" applyBorder="1" applyAlignment="1">
      <alignment horizontal="left" vertical="center"/>
    </xf>
    <xf numFmtId="0" fontId="18" fillId="5" borderId="9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justify" wrapText="1"/>
    </xf>
    <xf numFmtId="0" fontId="13" fillId="5" borderId="6" xfId="0" applyFont="1" applyFill="1" applyBorder="1" applyAlignment="1">
      <alignment horizontal="justify" wrapText="1"/>
    </xf>
    <xf numFmtId="0" fontId="13" fillId="5" borderId="4" xfId="0" applyFont="1" applyFill="1" applyBorder="1" applyAlignment="1">
      <alignment horizontal="justify" wrapText="1"/>
    </xf>
    <xf numFmtId="0" fontId="13" fillId="5" borderId="11" xfId="0" applyFont="1" applyFill="1" applyBorder="1" applyAlignment="1">
      <alignment horizontal="justify" wrapText="1"/>
    </xf>
    <xf numFmtId="0" fontId="13" fillId="5" borderId="12" xfId="0" applyFont="1" applyFill="1" applyBorder="1" applyAlignment="1">
      <alignment horizontal="justify" wrapText="1"/>
    </xf>
    <xf numFmtId="0" fontId="13" fillId="5" borderId="13" xfId="0" applyFont="1" applyFill="1" applyBorder="1" applyAlignment="1">
      <alignment horizontal="justify" wrapText="1"/>
    </xf>
    <xf numFmtId="0" fontId="13" fillId="5" borderId="7" xfId="0" applyFont="1" applyFill="1" applyBorder="1" applyAlignment="1">
      <alignment horizontal="justify" wrapText="1"/>
    </xf>
    <xf numFmtId="0" fontId="13" fillId="5" borderId="0" xfId="0" applyFont="1" applyFill="1" applyBorder="1" applyAlignment="1">
      <alignment horizontal="justify" wrapText="1"/>
    </xf>
    <xf numFmtId="0" fontId="13" fillId="5" borderId="8" xfId="0" applyFont="1" applyFill="1" applyBorder="1" applyAlignment="1">
      <alignment horizontal="justify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2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9" fillId="3" borderId="23" xfId="0" applyFont="1" applyFill="1" applyBorder="1" applyAlignment="1">
      <alignment horizontal="right" vertical="center" wrapText="1"/>
    </xf>
    <xf numFmtId="0" fontId="19" fillId="3" borderId="24" xfId="0" applyFont="1" applyFill="1" applyBorder="1" applyAlignment="1">
      <alignment horizontal="right" vertical="center" wrapText="1"/>
    </xf>
    <xf numFmtId="10" fontId="10" fillId="0" borderId="0" xfId="2" applyNumberFormat="1" applyFont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right" vertical="center" wrapText="1"/>
    </xf>
    <xf numFmtId="0" fontId="19" fillId="3" borderId="16" xfId="0" applyFont="1" applyFill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2" fillId="6" borderId="9" xfId="0" applyFont="1" applyFill="1" applyBorder="1" applyAlignment="1">
      <alignment horizontal="center" vertical="center"/>
    </xf>
    <xf numFmtId="0" fontId="22" fillId="6" borderId="10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19" fillId="3" borderId="25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wrapText="1"/>
    </xf>
    <xf numFmtId="0" fontId="3" fillId="3" borderId="10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7"/>
  <sheetViews>
    <sheetView tabSelected="1" topLeftCell="B25" workbookViewId="0">
      <selection activeCell="E21" sqref="E21"/>
    </sheetView>
  </sheetViews>
  <sheetFormatPr defaultRowHeight="15" x14ac:dyDescent="0.25"/>
  <cols>
    <col min="1" max="1" width="5.28515625" customWidth="1"/>
    <col min="2" max="2" width="12" bestFit="1" customWidth="1"/>
    <col min="3" max="3" width="51.5703125" customWidth="1"/>
    <col min="5" max="5" width="18.85546875" customWidth="1"/>
    <col min="6" max="7" width="18" customWidth="1"/>
    <col min="8" max="8" width="25.42578125" customWidth="1"/>
    <col min="9" max="9" width="28" customWidth="1"/>
    <col min="11" max="11" width="18" bestFit="1" customWidth="1"/>
  </cols>
  <sheetData>
    <row r="1" spans="2:9" ht="15.75" thickBot="1" x14ac:dyDescent="0.3">
      <c r="B1" s="135" t="s">
        <v>187</v>
      </c>
      <c r="C1" s="135"/>
    </row>
    <row r="2" spans="2:9" ht="16.5" thickBot="1" x14ac:dyDescent="0.3">
      <c r="B2" s="131" t="s">
        <v>186</v>
      </c>
      <c r="C2" s="132"/>
      <c r="D2" s="132"/>
      <c r="E2" s="132"/>
      <c r="F2" s="132"/>
      <c r="G2" s="132"/>
      <c r="H2" s="132"/>
      <c r="I2" s="133"/>
    </row>
    <row r="3" spans="2:9" ht="15.75" thickBot="1" x14ac:dyDescent="0.3">
      <c r="B3" s="134"/>
      <c r="C3" s="134"/>
      <c r="D3" s="134"/>
      <c r="E3" s="134"/>
      <c r="F3" s="134"/>
      <c r="G3" s="134"/>
      <c r="H3" s="134"/>
      <c r="I3" s="134"/>
    </row>
    <row r="4" spans="2:9" ht="30.75" thickBot="1" x14ac:dyDescent="0.3">
      <c r="B4" s="14" t="s">
        <v>0</v>
      </c>
      <c r="C4" s="15" t="s">
        <v>1</v>
      </c>
      <c r="D4" s="15" t="s">
        <v>2</v>
      </c>
      <c r="E4" s="15" t="s">
        <v>159</v>
      </c>
      <c r="F4" s="15" t="s">
        <v>196</v>
      </c>
      <c r="G4" s="15" t="s">
        <v>183</v>
      </c>
      <c r="H4" s="15" t="s">
        <v>158</v>
      </c>
      <c r="I4" s="15" t="s">
        <v>188</v>
      </c>
    </row>
    <row r="5" spans="2:9" ht="31.5" customHeight="1" thickBot="1" x14ac:dyDescent="0.3">
      <c r="B5" s="33" t="s">
        <v>3</v>
      </c>
      <c r="C5" s="34" t="s">
        <v>4</v>
      </c>
      <c r="D5" s="35">
        <v>176000</v>
      </c>
      <c r="E5" s="35"/>
      <c r="F5" s="35"/>
      <c r="G5" s="35"/>
      <c r="H5" s="35"/>
      <c r="I5" s="36">
        <f>SUM(I6:I8)</f>
        <v>919395840</v>
      </c>
    </row>
    <row r="6" spans="2:9" ht="31.5" customHeight="1" thickBot="1" x14ac:dyDescent="0.3">
      <c r="B6" s="13" t="s">
        <v>5</v>
      </c>
      <c r="C6" s="5" t="s">
        <v>6</v>
      </c>
      <c r="D6" s="6">
        <v>176000</v>
      </c>
      <c r="E6" s="31">
        <v>5734.07</v>
      </c>
      <c r="F6" s="103">
        <f>'Tabela D 2'!K26</f>
        <v>5052.8500000000004</v>
      </c>
      <c r="G6" s="103"/>
      <c r="H6" s="103">
        <f>MIN(E6:F6)</f>
        <v>5052.8500000000004</v>
      </c>
      <c r="I6" s="31">
        <f>H6*D6</f>
        <v>889301600</v>
      </c>
    </row>
    <row r="7" spans="2:9" ht="31.5" customHeight="1" thickBot="1" x14ac:dyDescent="0.3">
      <c r="B7" s="13" t="s">
        <v>7</v>
      </c>
      <c r="C7" s="5" t="s">
        <v>8</v>
      </c>
      <c r="D7" s="7" t="s">
        <v>9</v>
      </c>
      <c r="E7" s="31">
        <f>'Tabela D 4'!E32</f>
        <v>122.7</v>
      </c>
      <c r="F7" s="31">
        <f>76.92*1.0477</f>
        <v>80.59</v>
      </c>
      <c r="G7" s="31">
        <f>'Tabela D 4'!F32</f>
        <v>121.11</v>
      </c>
      <c r="H7" s="103">
        <f>MIN(E7:F7)</f>
        <v>80.59</v>
      </c>
      <c r="I7" s="31">
        <f>H7*D6</f>
        <v>14183840</v>
      </c>
    </row>
    <row r="8" spans="2:9" ht="31.5" customHeight="1" thickBot="1" x14ac:dyDescent="0.3">
      <c r="B8" s="13" t="s">
        <v>10</v>
      </c>
      <c r="C8" s="5" t="s">
        <v>11</v>
      </c>
      <c r="D8" s="6">
        <v>176000</v>
      </c>
      <c r="E8" s="31">
        <v>99.22</v>
      </c>
      <c r="F8" s="31">
        <f>86.28*1.0477</f>
        <v>90.4</v>
      </c>
      <c r="G8" s="31"/>
      <c r="H8" s="103">
        <f>MIN(E8:F8)</f>
        <v>90.4</v>
      </c>
      <c r="I8" s="31">
        <f>H8*D8</f>
        <v>15910400</v>
      </c>
    </row>
    <row r="9" spans="2:9" ht="31.5" customHeight="1" thickBot="1" x14ac:dyDescent="0.3">
      <c r="B9" s="33" t="s">
        <v>12</v>
      </c>
      <c r="C9" s="34" t="s">
        <v>13</v>
      </c>
      <c r="D9" s="35" t="s">
        <v>14</v>
      </c>
      <c r="E9" s="35"/>
      <c r="F9" s="35"/>
      <c r="G9" s="35"/>
      <c r="H9" s="35"/>
      <c r="I9" s="36">
        <f>SUM(I10:I12)</f>
        <v>5711806.8600000003</v>
      </c>
    </row>
    <row r="10" spans="2:9" ht="31.5" customHeight="1" thickBot="1" x14ac:dyDescent="0.3">
      <c r="B10" s="13" t="s">
        <v>15</v>
      </c>
      <c r="C10" s="5" t="s">
        <v>16</v>
      </c>
      <c r="D10" s="9">
        <v>1</v>
      </c>
      <c r="E10" s="32">
        <v>35497.58</v>
      </c>
      <c r="F10" s="32">
        <f>21463.75*1.0477</f>
        <v>22487.57</v>
      </c>
      <c r="G10" s="32"/>
      <c r="H10" s="37">
        <f>MIN(E10:F10)</f>
        <v>22487.57</v>
      </c>
      <c r="I10" s="37">
        <f>H10*D10</f>
        <v>22487.57</v>
      </c>
    </row>
    <row r="11" spans="2:9" ht="31.5" customHeight="1" thickBot="1" x14ac:dyDescent="0.3">
      <c r="B11" s="13" t="s">
        <v>17</v>
      </c>
      <c r="C11" s="5" t="s">
        <v>18</v>
      </c>
      <c r="D11" s="9" t="s">
        <v>19</v>
      </c>
      <c r="E11" s="32">
        <v>11482463.07</v>
      </c>
      <c r="F11" s="103">
        <f>5044717.28*1.0477</f>
        <v>5285350.29</v>
      </c>
      <c r="G11" s="103"/>
      <c r="H11" s="37">
        <f>MIN(E11:F11)</f>
        <v>5285350.29</v>
      </c>
      <c r="I11" s="37">
        <f>H11*D10</f>
        <v>5285350.29</v>
      </c>
    </row>
    <row r="12" spans="2:9" ht="31.5" customHeight="1" thickBot="1" x14ac:dyDescent="0.3">
      <c r="B12" s="13" t="s">
        <v>20</v>
      </c>
      <c r="C12" s="5" t="s">
        <v>21</v>
      </c>
      <c r="D12" s="9">
        <v>10</v>
      </c>
      <c r="E12" s="32">
        <v>63768.2</v>
      </c>
      <c r="F12" s="103">
        <f>38557.7*1.0477</f>
        <v>40396.9</v>
      </c>
      <c r="G12" s="103"/>
      <c r="H12" s="37">
        <f>MIN(E12:F12)</f>
        <v>40396.9</v>
      </c>
      <c r="I12" s="37">
        <f>H12*D12</f>
        <v>403969</v>
      </c>
    </row>
    <row r="13" spans="2:9" ht="31.5" customHeight="1" thickBot="1" x14ac:dyDescent="0.3">
      <c r="B13" s="33" t="s">
        <v>22</v>
      </c>
      <c r="C13" s="34" t="s">
        <v>23</v>
      </c>
      <c r="D13" s="35"/>
      <c r="E13" s="35"/>
      <c r="F13" s="35"/>
      <c r="G13" s="35"/>
      <c r="H13" s="35"/>
      <c r="I13" s="36">
        <f>SUM(I14:I16)</f>
        <v>3188723.52</v>
      </c>
    </row>
    <row r="14" spans="2:9" ht="31.5" customHeight="1" thickBot="1" x14ac:dyDescent="0.3">
      <c r="B14" s="13" t="s">
        <v>24</v>
      </c>
      <c r="C14" s="5" t="s">
        <v>25</v>
      </c>
      <c r="D14" s="9">
        <v>1</v>
      </c>
      <c r="E14" s="32">
        <v>2539981.19</v>
      </c>
      <c r="F14" s="32">
        <f>1985269.79*1.0477</f>
        <v>2079967.16</v>
      </c>
      <c r="G14" s="32"/>
      <c r="H14" s="37">
        <f>MIN(E14:F14)</f>
        <v>2079967.16</v>
      </c>
      <c r="I14" s="37">
        <f>H14*D14</f>
        <v>2079967.16</v>
      </c>
    </row>
    <row r="15" spans="2:9" ht="31.5" customHeight="1" thickBot="1" x14ac:dyDescent="0.3">
      <c r="B15" s="13" t="s">
        <v>26</v>
      </c>
      <c r="C15" s="5" t="s">
        <v>27</v>
      </c>
      <c r="D15" s="9">
        <v>1</v>
      </c>
      <c r="E15" s="32">
        <v>651928.5</v>
      </c>
      <c r="F15" s="32">
        <f>396519.97*1.0477</f>
        <v>415433.97</v>
      </c>
      <c r="G15" s="32"/>
      <c r="H15" s="37">
        <f t="shared" ref="H15:H16" si="0">MIN(E15:F15)</f>
        <v>415433.97</v>
      </c>
      <c r="I15" s="37">
        <f>H15*D15</f>
        <v>415433.97</v>
      </c>
    </row>
    <row r="16" spans="2:9" ht="31.5" customHeight="1" thickBot="1" x14ac:dyDescent="0.3">
      <c r="B16" s="13" t="s">
        <v>28</v>
      </c>
      <c r="C16" s="5" t="s">
        <v>29</v>
      </c>
      <c r="D16" s="9">
        <v>1</v>
      </c>
      <c r="E16" s="32">
        <v>846660.4</v>
      </c>
      <c r="F16" s="32">
        <f>661756.6*1.0477</f>
        <v>693322.39</v>
      </c>
      <c r="G16" s="32"/>
      <c r="H16" s="37">
        <f t="shared" si="0"/>
        <v>693322.39</v>
      </c>
      <c r="I16" s="37">
        <f>H16*D16</f>
        <v>693322.39</v>
      </c>
    </row>
    <row r="17" spans="2:11" ht="31.5" customHeight="1" thickBot="1" x14ac:dyDescent="0.3">
      <c r="B17" s="33" t="s">
        <v>30</v>
      </c>
      <c r="C17" s="34" t="s">
        <v>31</v>
      </c>
      <c r="D17" s="35"/>
      <c r="E17" s="35"/>
      <c r="F17" s="35"/>
      <c r="G17" s="35"/>
      <c r="H17" s="35"/>
      <c r="I17" s="36">
        <f>SUM(I18:I19)</f>
        <v>50504995.200000003</v>
      </c>
    </row>
    <row r="18" spans="2:11" ht="31.5" customHeight="1" thickBot="1" x14ac:dyDescent="0.3">
      <c r="B18" s="13" t="s">
        <v>32</v>
      </c>
      <c r="C18" s="5" t="s">
        <v>33</v>
      </c>
      <c r="D18" s="6">
        <v>161920</v>
      </c>
      <c r="E18" s="31">
        <v>211.41</v>
      </c>
      <c r="F18" s="31">
        <f>121.32*1.0477</f>
        <v>127.11</v>
      </c>
      <c r="G18" s="31"/>
      <c r="H18" s="31">
        <f>MIN(E18:F18)</f>
        <v>127.11</v>
      </c>
      <c r="I18" s="31">
        <f>H18*D18</f>
        <v>20581651.199999999</v>
      </c>
    </row>
    <row r="19" spans="2:11" ht="31.5" customHeight="1" thickBot="1" x14ac:dyDescent="0.3">
      <c r="B19" s="13" t="s">
        <v>34</v>
      </c>
      <c r="C19" s="5" t="s">
        <v>35</v>
      </c>
      <c r="D19" s="6">
        <v>475200</v>
      </c>
      <c r="E19" s="31">
        <v>104.62</v>
      </c>
      <c r="F19" s="31">
        <f>60.1*1.0477</f>
        <v>62.97</v>
      </c>
      <c r="G19" s="31"/>
      <c r="H19" s="31">
        <f>MIN(E19:F19)</f>
        <v>62.97</v>
      </c>
      <c r="I19" s="31">
        <f>H19*D19</f>
        <v>29923344</v>
      </c>
    </row>
    <row r="20" spans="2:11" ht="45.75" thickBot="1" x14ac:dyDescent="0.3">
      <c r="B20" s="87" t="s">
        <v>193</v>
      </c>
      <c r="C20" s="88" t="s">
        <v>194</v>
      </c>
      <c r="D20" s="89"/>
      <c r="E20" s="90">
        <f>'Tabela D 3'!F29</f>
        <v>1681712.01</v>
      </c>
      <c r="F20" s="91">
        <f>'Tabela D 3'!L29</f>
        <v>1561481</v>
      </c>
      <c r="G20" s="75"/>
      <c r="H20" s="117">
        <f>MIN(E20:F20)</f>
        <v>1561481</v>
      </c>
      <c r="I20" s="38">
        <f>H20</f>
        <v>1561481</v>
      </c>
      <c r="K20" s="44"/>
    </row>
    <row r="21" spans="2:11" ht="31.5" customHeight="1" thickBot="1" x14ac:dyDescent="0.3">
      <c r="B21" s="12" t="s">
        <v>36</v>
      </c>
      <c r="C21" s="39" t="s">
        <v>37</v>
      </c>
      <c r="D21" s="38" t="s">
        <v>38</v>
      </c>
      <c r="E21" s="38">
        <v>15563.63</v>
      </c>
      <c r="F21" s="38">
        <f>14545.45*1.0477</f>
        <v>15239.27</v>
      </c>
      <c r="G21" s="38"/>
      <c r="H21" s="117">
        <f t="shared" ref="H21:H25" si="1">MIN(E21:F21)</f>
        <v>15239.27</v>
      </c>
      <c r="I21" s="38">
        <f>H21*1</f>
        <v>15239.27</v>
      </c>
      <c r="K21" s="44"/>
    </row>
    <row r="22" spans="2:11" ht="31.5" customHeight="1" thickBot="1" x14ac:dyDescent="0.3">
      <c r="B22" s="40" t="s">
        <v>39</v>
      </c>
      <c r="C22" s="39" t="s">
        <v>40</v>
      </c>
      <c r="D22" s="38" t="s">
        <v>41</v>
      </c>
      <c r="E22" s="38">
        <v>2022.44</v>
      </c>
      <c r="F22" s="38">
        <f>1899*1.0477</f>
        <v>1989.58</v>
      </c>
      <c r="G22" s="38"/>
      <c r="H22" s="129">
        <f>E22*8/192</f>
        <v>84.27</v>
      </c>
      <c r="I22" s="38">
        <f>H22*192</f>
        <v>16179.84</v>
      </c>
      <c r="K22" s="44"/>
    </row>
    <row r="23" spans="2:11" ht="31.5" customHeight="1" thickBot="1" x14ac:dyDescent="0.3">
      <c r="B23" s="41" t="s">
        <v>42</v>
      </c>
      <c r="C23" s="39" t="s">
        <v>43</v>
      </c>
      <c r="D23" s="38"/>
      <c r="E23" s="99">
        <v>176222.13</v>
      </c>
      <c r="F23" s="38">
        <f>225222.41*1.0477</f>
        <v>235965.52</v>
      </c>
      <c r="G23" s="38"/>
      <c r="H23" s="117">
        <f t="shared" si="1"/>
        <v>176222.13</v>
      </c>
      <c r="I23" s="38">
        <f>H23</f>
        <v>176222.13</v>
      </c>
      <c r="K23" s="44"/>
    </row>
    <row r="24" spans="2:11" ht="31.5" customHeight="1" thickBot="1" x14ac:dyDescent="0.3">
      <c r="B24" s="12" t="s">
        <v>44</v>
      </c>
      <c r="C24" s="4" t="s">
        <v>45</v>
      </c>
      <c r="D24" s="8"/>
      <c r="E24" s="38">
        <v>258459.13</v>
      </c>
      <c r="F24" s="38">
        <f>257050.87*1.0477</f>
        <v>269312.2</v>
      </c>
      <c r="G24" s="38"/>
      <c r="H24" s="117">
        <f t="shared" si="1"/>
        <v>258459.13</v>
      </c>
      <c r="I24" s="38">
        <f>H24</f>
        <v>258459.13</v>
      </c>
      <c r="K24" s="44"/>
    </row>
    <row r="25" spans="2:11" ht="31.5" customHeight="1" thickBot="1" x14ac:dyDescent="0.3">
      <c r="B25" s="12" t="s">
        <v>46</v>
      </c>
      <c r="C25" s="4" t="s">
        <v>47</v>
      </c>
      <c r="D25" s="10" t="s">
        <v>48</v>
      </c>
      <c r="E25" s="38">
        <v>172.48</v>
      </c>
      <c r="F25" s="38">
        <f>149.98*1.0477</f>
        <v>157.13</v>
      </c>
      <c r="G25" s="38"/>
      <c r="H25" s="117">
        <f t="shared" si="1"/>
        <v>157.13</v>
      </c>
      <c r="I25" s="38">
        <f>H25</f>
        <v>157.13</v>
      </c>
      <c r="K25" s="44"/>
    </row>
    <row r="26" spans="2:11" ht="26.25" customHeight="1" thickBot="1" x14ac:dyDescent="0.3">
      <c r="B26" s="136" t="s">
        <v>49</v>
      </c>
      <c r="C26" s="137"/>
      <c r="D26" s="137"/>
      <c r="E26" s="137"/>
      <c r="F26" s="137"/>
      <c r="G26" s="137"/>
      <c r="H26" s="138"/>
      <c r="I26" s="42">
        <f>SUM(I20:I25)+I17+I13+I9+I5</f>
        <v>980829104.08000004</v>
      </c>
      <c r="K26" s="44"/>
    </row>
    <row r="27" spans="2:11" ht="22.5" customHeight="1" x14ac:dyDescent="0.25">
      <c r="B27" s="142" t="s">
        <v>50</v>
      </c>
      <c r="C27" s="143"/>
      <c r="D27" s="143"/>
      <c r="E27" s="143"/>
      <c r="F27" s="143"/>
      <c r="G27" s="143"/>
      <c r="H27" s="143"/>
      <c r="I27" s="144"/>
      <c r="K27" s="44"/>
    </row>
    <row r="28" spans="2:11" x14ac:dyDescent="0.25">
      <c r="B28" s="145" t="s">
        <v>51</v>
      </c>
      <c r="C28" s="146"/>
      <c r="D28" s="146"/>
      <c r="E28" s="146"/>
      <c r="F28" s="146"/>
      <c r="G28" s="146"/>
      <c r="H28" s="146"/>
      <c r="I28" s="147"/>
    </row>
    <row r="29" spans="2:11" x14ac:dyDescent="0.25">
      <c r="B29" s="145" t="s">
        <v>52</v>
      </c>
      <c r="C29" s="146"/>
      <c r="D29" s="146"/>
      <c r="E29" s="146"/>
      <c r="F29" s="146"/>
      <c r="G29" s="146"/>
      <c r="H29" s="146"/>
      <c r="I29" s="147"/>
    </row>
    <row r="30" spans="2:11" ht="33.75" customHeight="1" x14ac:dyDescent="0.25">
      <c r="B30" s="145" t="s">
        <v>53</v>
      </c>
      <c r="C30" s="146"/>
      <c r="D30" s="146"/>
      <c r="E30" s="146"/>
      <c r="F30" s="146"/>
      <c r="G30" s="146"/>
      <c r="H30" s="146"/>
      <c r="I30" s="147"/>
    </row>
    <row r="31" spans="2:11" ht="22.5" customHeight="1" thickBot="1" x14ac:dyDescent="0.3">
      <c r="B31" s="139" t="s">
        <v>54</v>
      </c>
      <c r="C31" s="140"/>
      <c r="D31" s="140"/>
      <c r="E31" s="140"/>
      <c r="F31" s="140"/>
      <c r="G31" s="140"/>
      <c r="H31" s="140"/>
      <c r="I31" s="141"/>
    </row>
    <row r="33" spans="2:9" ht="15.75" x14ac:dyDescent="0.25">
      <c r="G33" s="118"/>
      <c r="I33" s="124"/>
    </row>
    <row r="34" spans="2:9" ht="29.25" customHeight="1" x14ac:dyDescent="0.25">
      <c r="B34" s="102"/>
      <c r="G34" s="130"/>
      <c r="H34" s="130"/>
      <c r="I34" s="128"/>
    </row>
    <row r="35" spans="2:9" x14ac:dyDescent="0.25">
      <c r="H35" s="116"/>
      <c r="I35" s="116"/>
    </row>
    <row r="37" spans="2:9" x14ac:dyDescent="0.25">
      <c r="I37" s="44"/>
    </row>
  </sheetData>
  <mergeCells count="10">
    <mergeCell ref="G34:H34"/>
    <mergeCell ref="B2:I2"/>
    <mergeCell ref="B3:I3"/>
    <mergeCell ref="B1:C1"/>
    <mergeCell ref="B26:H26"/>
    <mergeCell ref="B31:I31"/>
    <mergeCell ref="B27:I27"/>
    <mergeCell ref="B28:I28"/>
    <mergeCell ref="B29:I29"/>
    <mergeCell ref="B30:I30"/>
  </mergeCells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58"/>
  <sheetViews>
    <sheetView topLeftCell="A10" zoomScale="80" zoomScaleNormal="80" workbookViewId="0">
      <selection activeCell="K27" sqref="K27"/>
    </sheetView>
  </sheetViews>
  <sheetFormatPr defaultRowHeight="15" x14ac:dyDescent="0.25"/>
  <cols>
    <col min="1" max="1" width="1.140625" customWidth="1"/>
    <col min="3" max="3" width="44.28515625" customWidth="1"/>
    <col min="4" max="4" width="11.85546875" customWidth="1"/>
    <col min="5" max="5" width="20.140625" bestFit="1" customWidth="1"/>
    <col min="6" max="6" width="5.140625" customWidth="1"/>
    <col min="8" max="8" width="42.140625" customWidth="1"/>
    <col min="9" max="9" width="13.85546875" customWidth="1"/>
    <col min="10" max="10" width="16.5703125" bestFit="1" customWidth="1"/>
    <col min="11" max="11" width="21.42578125" customWidth="1"/>
  </cols>
  <sheetData>
    <row r="1" spans="2:11" ht="16.5" thickBot="1" x14ac:dyDescent="0.3">
      <c r="B1" s="151" t="s">
        <v>190</v>
      </c>
      <c r="C1" s="152"/>
      <c r="D1" s="152"/>
      <c r="E1" s="153"/>
      <c r="G1" s="151" t="s">
        <v>195</v>
      </c>
      <c r="H1" s="152"/>
      <c r="I1" s="152"/>
      <c r="J1" s="152"/>
      <c r="K1" s="152"/>
    </row>
    <row r="2" spans="2:11" ht="15.75" thickBot="1" x14ac:dyDescent="0.3"/>
    <row r="3" spans="2:11" ht="62.25" customHeight="1" thickBot="1" x14ac:dyDescent="0.3">
      <c r="B3" s="46" t="s">
        <v>0</v>
      </c>
      <c r="C3" s="46" t="s">
        <v>1</v>
      </c>
      <c r="D3" s="45" t="s">
        <v>71</v>
      </c>
      <c r="E3" s="45" t="s">
        <v>159</v>
      </c>
      <c r="G3" s="46" t="s">
        <v>0</v>
      </c>
      <c r="H3" s="46" t="s">
        <v>1</v>
      </c>
      <c r="I3" s="45" t="s">
        <v>71</v>
      </c>
      <c r="J3" s="45" t="s">
        <v>199</v>
      </c>
      <c r="K3" s="45" t="s">
        <v>205</v>
      </c>
    </row>
    <row r="4" spans="2:11" ht="15.75" thickBot="1" x14ac:dyDescent="0.3">
      <c r="B4" s="83">
        <v>1</v>
      </c>
      <c r="C4" s="57" t="s">
        <v>55</v>
      </c>
      <c r="D4" s="57"/>
      <c r="E4" s="56">
        <f>SUM(E5:E13)</f>
        <v>3169.47</v>
      </c>
      <c r="G4" s="55">
        <v>1</v>
      </c>
      <c r="H4" s="57" t="s">
        <v>55</v>
      </c>
      <c r="I4" s="57"/>
      <c r="J4" s="110">
        <f>SUM(J5:J13)</f>
        <v>2402.86</v>
      </c>
      <c r="K4" s="110">
        <f>SUM(K5:K13)</f>
        <v>3206.66</v>
      </c>
    </row>
    <row r="5" spans="2:11" ht="15.75" thickBot="1" x14ac:dyDescent="0.3">
      <c r="B5" s="51" t="s">
        <v>162</v>
      </c>
      <c r="C5" s="52" t="s">
        <v>56</v>
      </c>
      <c r="D5" s="52"/>
      <c r="E5" s="53">
        <v>137.1</v>
      </c>
      <c r="G5" s="50" t="s">
        <v>162</v>
      </c>
      <c r="H5" s="52" t="s">
        <v>56</v>
      </c>
      <c r="I5" s="52"/>
      <c r="J5" s="61">
        <v>102.44</v>
      </c>
      <c r="K5" s="108">
        <f t="shared" ref="K5:K13" si="0">J5/K$29*K$30</f>
        <v>136.71</v>
      </c>
    </row>
    <row r="6" spans="2:11" ht="15.75" thickBot="1" x14ac:dyDescent="0.3">
      <c r="B6" s="51" t="s">
        <v>163</v>
      </c>
      <c r="C6" s="52" t="s">
        <v>76</v>
      </c>
      <c r="D6" s="52"/>
      <c r="E6" s="53">
        <v>1469.71</v>
      </c>
      <c r="G6" s="59" t="s">
        <v>163</v>
      </c>
      <c r="H6" s="60" t="s">
        <v>76</v>
      </c>
      <c r="I6" s="60"/>
      <c r="J6" s="61">
        <v>1124.07</v>
      </c>
      <c r="K6" s="108">
        <f t="shared" si="0"/>
        <v>1500.09</v>
      </c>
    </row>
    <row r="7" spans="2:11" ht="15.75" thickBot="1" x14ac:dyDescent="0.3">
      <c r="B7" s="51" t="s">
        <v>164</v>
      </c>
      <c r="C7" s="52" t="s">
        <v>59</v>
      </c>
      <c r="D7" s="52"/>
      <c r="E7" s="53">
        <v>331.67</v>
      </c>
      <c r="G7" s="59" t="s">
        <v>164</v>
      </c>
      <c r="H7" s="60" t="s">
        <v>59</v>
      </c>
      <c r="I7" s="60"/>
      <c r="J7" s="61">
        <v>247.84</v>
      </c>
      <c r="K7" s="108">
        <f t="shared" si="0"/>
        <v>330.75</v>
      </c>
    </row>
    <row r="8" spans="2:11" ht="15.75" thickBot="1" x14ac:dyDescent="0.3">
      <c r="B8" s="51" t="s">
        <v>165</v>
      </c>
      <c r="C8" s="52" t="s">
        <v>57</v>
      </c>
      <c r="D8" s="52"/>
      <c r="E8" s="53">
        <v>342.27</v>
      </c>
      <c r="G8" s="59" t="s">
        <v>165</v>
      </c>
      <c r="H8" s="60" t="s">
        <v>57</v>
      </c>
      <c r="I8" s="60"/>
      <c r="J8" s="61">
        <v>255.75</v>
      </c>
      <c r="K8" s="108">
        <f t="shared" si="0"/>
        <v>341.3</v>
      </c>
    </row>
    <row r="9" spans="2:11" ht="15.75" thickBot="1" x14ac:dyDescent="0.3">
      <c r="B9" s="51" t="s">
        <v>166</v>
      </c>
      <c r="C9" s="52" t="s">
        <v>60</v>
      </c>
      <c r="D9" s="52"/>
      <c r="E9" s="53">
        <v>261.35000000000002</v>
      </c>
      <c r="G9" s="59" t="s">
        <v>166</v>
      </c>
      <c r="H9" s="60" t="s">
        <v>60</v>
      </c>
      <c r="I9" s="60"/>
      <c r="J9" s="61">
        <v>196.9</v>
      </c>
      <c r="K9" s="108">
        <f t="shared" si="0"/>
        <v>262.77</v>
      </c>
    </row>
    <row r="10" spans="2:11" ht="15.75" thickBot="1" x14ac:dyDescent="0.3">
      <c r="B10" s="51" t="s">
        <v>170</v>
      </c>
      <c r="C10" s="52" t="s">
        <v>58</v>
      </c>
      <c r="D10" s="52"/>
      <c r="E10" s="53">
        <v>226.41</v>
      </c>
      <c r="G10" s="59" t="s">
        <v>170</v>
      </c>
      <c r="H10" s="60" t="s">
        <v>58</v>
      </c>
      <c r="I10" s="60"/>
      <c r="J10" s="61">
        <v>169.65</v>
      </c>
      <c r="K10" s="108">
        <f t="shared" si="0"/>
        <v>226.4</v>
      </c>
    </row>
    <row r="11" spans="2:11" ht="15.75" thickBot="1" x14ac:dyDescent="0.3">
      <c r="B11" s="51" t="s">
        <v>171</v>
      </c>
      <c r="C11" s="52" t="s">
        <v>161</v>
      </c>
      <c r="D11" s="52"/>
      <c r="E11" s="54">
        <v>232.35</v>
      </c>
      <c r="G11" s="59" t="s">
        <v>171</v>
      </c>
      <c r="H11" s="60" t="s">
        <v>161</v>
      </c>
      <c r="I11" s="60"/>
      <c r="J11" s="62">
        <v>173.62</v>
      </c>
      <c r="K11" s="108">
        <f t="shared" si="0"/>
        <v>231.7</v>
      </c>
    </row>
    <row r="12" spans="2:11" ht="15.75" thickBot="1" x14ac:dyDescent="0.3">
      <c r="B12" s="51" t="s">
        <v>167</v>
      </c>
      <c r="C12" s="52" t="s">
        <v>160</v>
      </c>
      <c r="D12" s="52"/>
      <c r="E12" s="53">
        <v>13.08</v>
      </c>
      <c r="G12" s="59" t="s">
        <v>167</v>
      </c>
      <c r="H12" s="60" t="s">
        <v>160</v>
      </c>
      <c r="I12" s="60"/>
      <c r="J12" s="61">
        <v>12.47</v>
      </c>
      <c r="K12" s="108">
        <f t="shared" si="0"/>
        <v>16.64</v>
      </c>
    </row>
    <row r="13" spans="2:11" ht="15.75" thickBot="1" x14ac:dyDescent="0.3">
      <c r="B13" s="51" t="s">
        <v>168</v>
      </c>
      <c r="C13" s="52" t="s">
        <v>169</v>
      </c>
      <c r="D13" s="52"/>
      <c r="E13" s="53">
        <v>155.53</v>
      </c>
      <c r="G13" s="59" t="s">
        <v>168</v>
      </c>
      <c r="H13" s="60" t="s">
        <v>169</v>
      </c>
      <c r="I13" s="60"/>
      <c r="J13" s="61">
        <v>120.12</v>
      </c>
      <c r="K13" s="108">
        <f t="shared" si="0"/>
        <v>160.30000000000001</v>
      </c>
    </row>
    <row r="14" spans="2:11" ht="15.75" thickBot="1" x14ac:dyDescent="0.3">
      <c r="B14" s="83">
        <v>2</v>
      </c>
      <c r="C14" s="57" t="s">
        <v>61</v>
      </c>
      <c r="D14" s="57"/>
      <c r="E14" s="58">
        <f>SUM(E15:E19)</f>
        <v>1042.23</v>
      </c>
      <c r="G14" s="55">
        <v>2</v>
      </c>
      <c r="H14" s="57" t="s">
        <v>61</v>
      </c>
      <c r="I14" s="57"/>
      <c r="J14" s="110">
        <f>SUM(J15:J19)</f>
        <v>779.9</v>
      </c>
      <c r="K14" s="110">
        <f>SUM(K15:K19)</f>
        <v>1040.78</v>
      </c>
    </row>
    <row r="15" spans="2:11" ht="15.75" thickBot="1" x14ac:dyDescent="0.3">
      <c r="B15" s="84" t="s">
        <v>172</v>
      </c>
      <c r="C15" s="52" t="s">
        <v>56</v>
      </c>
      <c r="D15" s="17"/>
      <c r="E15" s="48">
        <v>27.16</v>
      </c>
      <c r="G15" s="59" t="s">
        <v>172</v>
      </c>
      <c r="H15" s="63" t="s">
        <v>56</v>
      </c>
      <c r="I15" s="18"/>
      <c r="J15" s="49">
        <v>20.3</v>
      </c>
      <c r="K15" s="108">
        <f>J15/K$29*K$30</f>
        <v>27.09</v>
      </c>
    </row>
    <row r="16" spans="2:11" ht="15.75" thickBot="1" x14ac:dyDescent="0.3">
      <c r="B16" s="84" t="s">
        <v>173</v>
      </c>
      <c r="C16" s="18" t="s">
        <v>179</v>
      </c>
      <c r="D16" s="17"/>
      <c r="E16" s="48">
        <v>289.77999999999997</v>
      </c>
      <c r="G16" s="59" t="s">
        <v>173</v>
      </c>
      <c r="H16" s="18" t="s">
        <v>62</v>
      </c>
      <c r="I16" s="18"/>
      <c r="J16" s="49">
        <v>217.28</v>
      </c>
      <c r="K16" s="108">
        <f>J16/K$29*K$30</f>
        <v>289.95999999999998</v>
      </c>
    </row>
    <row r="17" spans="2:11" ht="15.75" thickBot="1" x14ac:dyDescent="0.3">
      <c r="B17" s="84" t="s">
        <v>174</v>
      </c>
      <c r="C17" s="18" t="s">
        <v>63</v>
      </c>
      <c r="D17" s="16"/>
      <c r="E17" s="47">
        <v>365.67</v>
      </c>
      <c r="G17" s="59" t="s">
        <v>174</v>
      </c>
      <c r="H17" s="18" t="s">
        <v>63</v>
      </c>
      <c r="I17" s="18"/>
      <c r="J17" s="49">
        <v>273.24</v>
      </c>
      <c r="K17" s="108">
        <f>J17/K$29*K$30</f>
        <v>364.64</v>
      </c>
    </row>
    <row r="18" spans="2:11" ht="15.75" thickBot="1" x14ac:dyDescent="0.3">
      <c r="B18" s="84" t="s">
        <v>175</v>
      </c>
      <c r="C18" s="16" t="s">
        <v>178</v>
      </c>
      <c r="D18" s="16"/>
      <c r="E18" s="47">
        <v>64.3</v>
      </c>
      <c r="G18" s="59" t="s">
        <v>175</v>
      </c>
      <c r="H18" s="65" t="s">
        <v>178</v>
      </c>
      <c r="I18" s="18"/>
      <c r="J18" s="49">
        <v>48.13</v>
      </c>
      <c r="K18" s="108">
        <f>J18/K$29*K$30</f>
        <v>64.23</v>
      </c>
    </row>
    <row r="19" spans="2:11" ht="15.75" thickBot="1" x14ac:dyDescent="0.3">
      <c r="B19" s="84" t="s">
        <v>176</v>
      </c>
      <c r="C19" s="65" t="s">
        <v>180</v>
      </c>
      <c r="D19" s="18"/>
      <c r="E19" s="49">
        <v>295.32</v>
      </c>
      <c r="G19" s="59" t="s">
        <v>176</v>
      </c>
      <c r="H19" s="64" t="s">
        <v>177</v>
      </c>
      <c r="I19" s="18"/>
      <c r="J19" s="49">
        <v>220.95</v>
      </c>
      <c r="K19" s="108">
        <f>J19/K$29*K$30</f>
        <v>294.86</v>
      </c>
    </row>
    <row r="20" spans="2:11" ht="15.75" thickBot="1" x14ac:dyDescent="0.3">
      <c r="B20" s="83">
        <v>3</v>
      </c>
      <c r="C20" s="57" t="s">
        <v>181</v>
      </c>
      <c r="D20" s="57"/>
      <c r="E20" s="67"/>
      <c r="G20" s="55">
        <v>3</v>
      </c>
      <c r="H20" s="57" t="s">
        <v>181</v>
      </c>
      <c r="I20" s="57"/>
      <c r="J20" s="110"/>
      <c r="K20" s="110"/>
    </row>
    <row r="21" spans="2:11" ht="15.75" thickBot="1" x14ac:dyDescent="0.3">
      <c r="B21" s="85"/>
      <c r="C21" s="16"/>
      <c r="D21" s="16"/>
      <c r="E21" s="47"/>
      <c r="G21" s="19"/>
      <c r="H21" s="16"/>
      <c r="I21" s="16"/>
      <c r="J21" s="105"/>
      <c r="K21" s="109"/>
    </row>
    <row r="22" spans="2:11" ht="15.75" thickBot="1" x14ac:dyDescent="0.3">
      <c r="B22" s="83">
        <v>4</v>
      </c>
      <c r="C22" s="57" t="s">
        <v>64</v>
      </c>
      <c r="D22" s="57"/>
      <c r="E22" s="67">
        <v>887.05</v>
      </c>
      <c r="G22" s="66">
        <v>4</v>
      </c>
      <c r="H22" s="57" t="s">
        <v>64</v>
      </c>
      <c r="I22" s="57"/>
      <c r="J22" s="67">
        <v>237.35</v>
      </c>
      <c r="K22" s="112">
        <f>J22*1.0477</f>
        <v>248.67</v>
      </c>
    </row>
    <row r="23" spans="2:11" ht="15.75" thickBot="1" x14ac:dyDescent="0.3">
      <c r="B23" s="85"/>
      <c r="C23" s="16"/>
      <c r="D23" s="16"/>
      <c r="E23" s="47"/>
      <c r="G23" s="19"/>
      <c r="H23" s="16"/>
      <c r="I23" s="16"/>
      <c r="J23" s="105"/>
      <c r="K23" s="65"/>
    </row>
    <row r="24" spans="2:11" ht="30.75" thickBot="1" x14ac:dyDescent="0.3">
      <c r="B24" s="83">
        <v>5</v>
      </c>
      <c r="C24" s="57" t="s">
        <v>65</v>
      </c>
      <c r="D24" s="57"/>
      <c r="E24" s="67">
        <v>635.32000000000005</v>
      </c>
      <c r="G24" s="66" t="s">
        <v>67</v>
      </c>
      <c r="H24" s="70" t="s">
        <v>65</v>
      </c>
      <c r="I24" s="66"/>
      <c r="J24" s="68">
        <v>531.39</v>
      </c>
      <c r="K24" s="68">
        <f>J24*1.0477</f>
        <v>556.74</v>
      </c>
    </row>
    <row r="25" spans="2:11" ht="28.5" customHeight="1" thickTop="1" thickBot="1" x14ac:dyDescent="0.3">
      <c r="B25" s="158" t="s">
        <v>66</v>
      </c>
      <c r="C25" s="159"/>
      <c r="D25" s="43"/>
      <c r="E25" s="69">
        <f>E24+E22+E14+E4</f>
        <v>5734.07</v>
      </c>
      <c r="G25" s="155" t="s">
        <v>66</v>
      </c>
      <c r="H25" s="156"/>
      <c r="I25" s="107"/>
      <c r="J25" s="106">
        <f>SUM(J4+J14+J22+J24)</f>
        <v>3951.5</v>
      </c>
      <c r="K25" s="65"/>
    </row>
    <row r="26" spans="2:11" ht="28.5" customHeight="1" thickTop="1" thickBot="1" x14ac:dyDescent="0.3">
      <c r="B26" s="169"/>
      <c r="C26" s="169"/>
      <c r="D26" s="169"/>
      <c r="E26" s="169"/>
      <c r="G26" s="148" t="s">
        <v>200</v>
      </c>
      <c r="H26" s="149"/>
      <c r="I26" s="149"/>
      <c r="J26" s="150"/>
      <c r="K26" s="122">
        <f>SUM(K4+K14+K22+K24)</f>
        <v>5052.8500000000004</v>
      </c>
    </row>
    <row r="27" spans="2:11" ht="15" customHeight="1" thickBot="1" x14ac:dyDescent="0.3">
      <c r="B27" s="170"/>
      <c r="C27" s="170"/>
      <c r="D27" s="170"/>
      <c r="E27" s="170"/>
    </row>
    <row r="28" spans="2:11" ht="25.5" customHeight="1" thickBot="1" x14ac:dyDescent="0.3">
      <c r="B28" s="170"/>
      <c r="C28" s="170"/>
      <c r="D28" s="170"/>
      <c r="E28" s="170"/>
      <c r="G28" s="166" t="s">
        <v>204</v>
      </c>
      <c r="H28" s="167"/>
      <c r="I28" s="167"/>
      <c r="J28" s="167"/>
      <c r="K28" s="168"/>
    </row>
    <row r="29" spans="2:11" ht="38.25" customHeight="1" thickBot="1" x14ac:dyDescent="0.3">
      <c r="B29" s="160" t="s">
        <v>68</v>
      </c>
      <c r="C29" s="161"/>
      <c r="D29" s="162"/>
      <c r="E29" s="121">
        <v>5.78</v>
      </c>
      <c r="G29" s="160" t="s">
        <v>197</v>
      </c>
      <c r="H29" s="161"/>
      <c r="I29" s="161"/>
      <c r="J29" s="162"/>
      <c r="K29" s="104">
        <v>4.1837</v>
      </c>
    </row>
    <row r="30" spans="2:11" ht="20.25" customHeight="1" thickBot="1" x14ac:dyDescent="0.3">
      <c r="B30" s="163" t="s">
        <v>69</v>
      </c>
      <c r="C30" s="164"/>
      <c r="D30" s="165"/>
      <c r="E30" s="101">
        <v>44133</v>
      </c>
      <c r="G30" s="160" t="s">
        <v>203</v>
      </c>
      <c r="H30" s="161"/>
      <c r="I30" s="161"/>
      <c r="J30" s="162"/>
      <c r="K30" s="104">
        <v>5.5831999999999997</v>
      </c>
    </row>
    <row r="31" spans="2:11" ht="21" customHeight="1" thickBot="1" x14ac:dyDescent="0.3">
      <c r="B31" s="98"/>
      <c r="C31" s="98"/>
      <c r="D31" s="98"/>
      <c r="E31" s="100"/>
      <c r="G31" s="111"/>
    </row>
    <row r="32" spans="2:11" ht="33" customHeight="1" thickBot="1" x14ac:dyDescent="0.3">
      <c r="C32" s="81"/>
      <c r="D32" s="81"/>
      <c r="E32" s="82"/>
      <c r="G32" s="114" t="s">
        <v>201</v>
      </c>
      <c r="H32" s="115"/>
      <c r="I32" s="115"/>
      <c r="J32" s="25" t="s">
        <v>202</v>
      </c>
      <c r="K32" s="113">
        <v>4.7699999999999999E-2</v>
      </c>
    </row>
    <row r="33" spans="8:11" x14ac:dyDescent="0.25">
      <c r="H33" s="157"/>
      <c r="I33" s="157"/>
      <c r="J33" s="96"/>
    </row>
    <row r="34" spans="8:11" x14ac:dyDescent="0.25">
      <c r="J34" s="118"/>
    </row>
    <row r="35" spans="8:11" x14ac:dyDescent="0.25">
      <c r="J35" s="119"/>
      <c r="K35" s="44" t="e">
        <f>K26+#REF!+#REF!</f>
        <v>#REF!</v>
      </c>
    </row>
    <row r="36" spans="8:11" x14ac:dyDescent="0.25">
      <c r="H36" s="154"/>
      <c r="I36" s="154"/>
      <c r="J36" s="120"/>
    </row>
    <row r="38" spans="8:11" x14ac:dyDescent="0.25">
      <c r="J38" s="44"/>
    </row>
    <row r="39" spans="8:11" x14ac:dyDescent="0.25">
      <c r="J39" s="44"/>
    </row>
    <row r="58" ht="27" customHeight="1" x14ac:dyDescent="0.25"/>
  </sheetData>
  <mergeCells count="13">
    <mergeCell ref="G26:J26"/>
    <mergeCell ref="G1:K1"/>
    <mergeCell ref="B1:E1"/>
    <mergeCell ref="H36:I36"/>
    <mergeCell ref="G25:H25"/>
    <mergeCell ref="H33:I33"/>
    <mergeCell ref="B25:C25"/>
    <mergeCell ref="B29:D29"/>
    <mergeCell ref="B30:D30"/>
    <mergeCell ref="G28:K28"/>
    <mergeCell ref="G29:J29"/>
    <mergeCell ref="G30:J30"/>
    <mergeCell ref="B26:E28"/>
  </mergeCells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43"/>
  <sheetViews>
    <sheetView topLeftCell="C4" zoomScale="90" zoomScaleNormal="90" workbookViewId="0">
      <selection activeCell="J17" sqref="J17"/>
    </sheetView>
  </sheetViews>
  <sheetFormatPr defaultRowHeight="15" x14ac:dyDescent="0.25"/>
  <cols>
    <col min="1" max="1" width="1.140625" customWidth="1"/>
    <col min="3" max="3" width="42.28515625" customWidth="1"/>
    <col min="4" max="4" width="14.5703125" customWidth="1"/>
    <col min="5" max="5" width="12.85546875" customWidth="1"/>
    <col min="6" max="6" width="25.85546875" customWidth="1"/>
    <col min="7" max="7" width="4.5703125" customWidth="1"/>
    <col min="9" max="9" width="42.28515625" customWidth="1"/>
    <col min="10" max="10" width="15.42578125" customWidth="1"/>
    <col min="11" max="11" width="13.28515625" customWidth="1"/>
    <col min="12" max="12" width="18.5703125" customWidth="1"/>
    <col min="14" max="14" width="12.7109375" bestFit="1" customWidth="1"/>
  </cols>
  <sheetData>
    <row r="1" spans="2:14" ht="16.5" thickBot="1" x14ac:dyDescent="0.3">
      <c r="B1" s="151" t="s">
        <v>190</v>
      </c>
      <c r="C1" s="152"/>
      <c r="D1" s="152"/>
      <c r="E1" s="152"/>
      <c r="F1" s="153"/>
      <c r="G1" s="86"/>
      <c r="H1" s="151" t="s">
        <v>195</v>
      </c>
      <c r="I1" s="152"/>
      <c r="J1" s="152"/>
      <c r="K1" s="152"/>
      <c r="L1" s="153"/>
    </row>
    <row r="2" spans="2:14" ht="15.75" thickBot="1" x14ac:dyDescent="0.3"/>
    <row r="3" spans="2:14" ht="60.75" thickBot="1" x14ac:dyDescent="0.3">
      <c r="B3" s="23" t="s">
        <v>0</v>
      </c>
      <c r="C3" s="24" t="s">
        <v>70</v>
      </c>
      <c r="D3" s="24" t="s">
        <v>182</v>
      </c>
      <c r="E3" s="24" t="s">
        <v>71</v>
      </c>
      <c r="F3" s="24" t="s">
        <v>72</v>
      </c>
      <c r="H3" s="23" t="s">
        <v>0</v>
      </c>
      <c r="I3" s="24" t="s">
        <v>70</v>
      </c>
      <c r="J3" s="24" t="s">
        <v>206</v>
      </c>
      <c r="K3" s="24" t="s">
        <v>71</v>
      </c>
      <c r="L3" s="24" t="s">
        <v>72</v>
      </c>
    </row>
    <row r="4" spans="2:14" ht="15.75" thickBot="1" x14ac:dyDescent="0.3">
      <c r="B4" s="20" t="s">
        <v>73</v>
      </c>
      <c r="C4" s="177" t="s">
        <v>74</v>
      </c>
      <c r="D4" s="178"/>
      <c r="E4" s="178"/>
      <c r="F4" s="179"/>
      <c r="H4" s="20" t="s">
        <v>73</v>
      </c>
      <c r="I4" s="177" t="s">
        <v>198</v>
      </c>
      <c r="J4" s="178"/>
      <c r="K4" s="178"/>
      <c r="L4" s="179"/>
    </row>
    <row r="5" spans="2:14" ht="20.25" customHeight="1" thickBot="1" x14ac:dyDescent="0.3">
      <c r="B5" s="11" t="s">
        <v>75</v>
      </c>
      <c r="C5" s="21" t="s">
        <v>76</v>
      </c>
      <c r="D5" s="72">
        <v>1482.26</v>
      </c>
      <c r="E5" s="9">
        <v>89</v>
      </c>
      <c r="F5" s="73">
        <f>E5*D5</f>
        <v>131921.14000000001</v>
      </c>
      <c r="H5" s="11" t="s">
        <v>75</v>
      </c>
      <c r="I5" s="21" t="s">
        <v>76</v>
      </c>
      <c r="J5" s="72">
        <f>1048.96/L37*L38</f>
        <v>1399.85</v>
      </c>
      <c r="K5" s="9">
        <f>E5</f>
        <v>89</v>
      </c>
      <c r="L5" s="73">
        <f>J5*K5</f>
        <v>124586.65</v>
      </c>
      <c r="N5" s="74"/>
    </row>
    <row r="6" spans="2:14" ht="20.25" customHeight="1" thickBot="1" x14ac:dyDescent="0.3">
      <c r="B6" s="11" t="s">
        <v>77</v>
      </c>
      <c r="C6" s="21" t="s">
        <v>78</v>
      </c>
      <c r="D6" s="72">
        <v>471.52</v>
      </c>
      <c r="E6" s="9">
        <v>53</v>
      </c>
      <c r="F6" s="73">
        <f t="shared" ref="F6:F14" si="0">E6*D6</f>
        <v>24990.560000000001</v>
      </c>
      <c r="H6" s="11" t="s">
        <v>77</v>
      </c>
      <c r="I6" s="21" t="s">
        <v>78</v>
      </c>
      <c r="J6" s="72">
        <f>326.01/L37*L38</f>
        <v>435.06</v>
      </c>
      <c r="K6" s="9">
        <f t="shared" ref="K6:K14" si="1">E6</f>
        <v>53</v>
      </c>
      <c r="L6" s="73">
        <f t="shared" ref="L6:L14" si="2">J6*K6</f>
        <v>23058.18</v>
      </c>
    </row>
    <row r="7" spans="2:14" ht="20.25" customHeight="1" thickBot="1" x14ac:dyDescent="0.3">
      <c r="B7" s="11" t="s">
        <v>79</v>
      </c>
      <c r="C7" s="21" t="s">
        <v>80</v>
      </c>
      <c r="D7" s="72">
        <v>503.64</v>
      </c>
      <c r="E7" s="9">
        <v>249</v>
      </c>
      <c r="F7" s="73">
        <f t="shared" si="0"/>
        <v>125406.36</v>
      </c>
      <c r="H7" s="11" t="s">
        <v>79</v>
      </c>
      <c r="I7" s="21" t="s">
        <v>80</v>
      </c>
      <c r="J7" s="72">
        <f>348.22/L37*L38</f>
        <v>464.7</v>
      </c>
      <c r="K7" s="9">
        <f t="shared" si="1"/>
        <v>249</v>
      </c>
      <c r="L7" s="73">
        <f t="shared" si="2"/>
        <v>115710.3</v>
      </c>
    </row>
    <row r="8" spans="2:14" ht="20.25" customHeight="1" thickBot="1" x14ac:dyDescent="0.3">
      <c r="B8" s="11" t="s">
        <v>81</v>
      </c>
      <c r="C8" s="21" t="s">
        <v>82</v>
      </c>
      <c r="D8" s="72">
        <v>1579.96</v>
      </c>
      <c r="E8" s="9">
        <v>53</v>
      </c>
      <c r="F8" s="73">
        <f t="shared" si="0"/>
        <v>83737.88</v>
      </c>
      <c r="H8" s="11" t="s">
        <v>81</v>
      </c>
      <c r="I8" s="21" t="s">
        <v>82</v>
      </c>
      <c r="J8" s="72">
        <f>1093.91/L37*L38</f>
        <v>1459.84</v>
      </c>
      <c r="K8" s="9">
        <f t="shared" si="1"/>
        <v>53</v>
      </c>
      <c r="L8" s="73">
        <f t="shared" si="2"/>
        <v>77371.520000000004</v>
      </c>
    </row>
    <row r="9" spans="2:14" ht="20.25" customHeight="1" thickBot="1" x14ac:dyDescent="0.3">
      <c r="B9" s="11" t="s">
        <v>83</v>
      </c>
      <c r="C9" s="21" t="s">
        <v>60</v>
      </c>
      <c r="D9" s="72">
        <v>384.57</v>
      </c>
      <c r="E9" s="9">
        <v>160</v>
      </c>
      <c r="F9" s="73">
        <f t="shared" si="0"/>
        <v>61531.199999999997</v>
      </c>
      <c r="H9" s="11" t="s">
        <v>83</v>
      </c>
      <c r="I9" s="21" t="s">
        <v>60</v>
      </c>
      <c r="J9" s="72">
        <f>268.09/L37*L38</f>
        <v>357.77</v>
      </c>
      <c r="K9" s="9">
        <f t="shared" si="1"/>
        <v>160</v>
      </c>
      <c r="L9" s="73">
        <f t="shared" si="2"/>
        <v>57243.199999999997</v>
      </c>
    </row>
    <row r="10" spans="2:14" ht="20.25" customHeight="1" thickBot="1" x14ac:dyDescent="0.3">
      <c r="B10" s="11" t="s">
        <v>84</v>
      </c>
      <c r="C10" s="21" t="s">
        <v>85</v>
      </c>
      <c r="D10" s="72">
        <v>321.89</v>
      </c>
      <c r="E10" s="9">
        <v>53</v>
      </c>
      <c r="F10" s="73">
        <f t="shared" si="0"/>
        <v>17060.169999999998</v>
      </c>
      <c r="H10" s="11" t="s">
        <v>84</v>
      </c>
      <c r="I10" s="21" t="s">
        <v>85</v>
      </c>
      <c r="J10" s="72">
        <f>223.17/L37*L38</f>
        <v>297.82</v>
      </c>
      <c r="K10" s="9">
        <f t="shared" si="1"/>
        <v>53</v>
      </c>
      <c r="L10" s="73">
        <f t="shared" si="2"/>
        <v>15784.46</v>
      </c>
    </row>
    <row r="11" spans="2:14" ht="20.25" customHeight="1" thickBot="1" x14ac:dyDescent="0.3">
      <c r="B11" s="11" t="s">
        <v>86</v>
      </c>
      <c r="C11" s="21" t="s">
        <v>87</v>
      </c>
      <c r="D11" s="72">
        <v>426.42</v>
      </c>
      <c r="E11" s="9">
        <v>356</v>
      </c>
      <c r="F11" s="73">
        <f t="shared" si="0"/>
        <v>151805.51999999999</v>
      </c>
      <c r="H11" s="11" t="s">
        <v>86</v>
      </c>
      <c r="I11" s="21" t="s">
        <v>87</v>
      </c>
      <c r="J11" s="72">
        <f>295.84/L37*L38</f>
        <v>394.8</v>
      </c>
      <c r="K11" s="9">
        <f t="shared" si="1"/>
        <v>356</v>
      </c>
      <c r="L11" s="73">
        <f t="shared" si="2"/>
        <v>140548.79999999999</v>
      </c>
    </row>
    <row r="12" spans="2:14" ht="20.25" customHeight="1" thickBot="1" x14ac:dyDescent="0.3">
      <c r="B12" s="11" t="s">
        <v>88</v>
      </c>
      <c r="C12" s="21" t="s">
        <v>63</v>
      </c>
      <c r="D12" s="72">
        <v>538.07000000000005</v>
      </c>
      <c r="E12" s="9">
        <v>53</v>
      </c>
      <c r="F12" s="73">
        <f t="shared" si="0"/>
        <v>28517.71</v>
      </c>
      <c r="H12" s="11" t="s">
        <v>88</v>
      </c>
      <c r="I12" s="21" t="s">
        <v>63</v>
      </c>
      <c r="J12" s="72">
        <f>372.03/L37*L38</f>
        <v>496.48</v>
      </c>
      <c r="K12" s="9">
        <f t="shared" si="1"/>
        <v>53</v>
      </c>
      <c r="L12" s="73">
        <f t="shared" si="2"/>
        <v>26313.439999999999</v>
      </c>
    </row>
    <row r="13" spans="2:14" ht="20.25" customHeight="1" thickBot="1" x14ac:dyDescent="0.3">
      <c r="B13" s="11" t="s">
        <v>89</v>
      </c>
      <c r="C13" s="21" t="s">
        <v>90</v>
      </c>
      <c r="D13" s="72">
        <v>13.21</v>
      </c>
      <c r="E13" s="9">
        <v>160</v>
      </c>
      <c r="F13" s="73">
        <f t="shared" si="0"/>
        <v>2113.6</v>
      </c>
      <c r="H13" s="11" t="s">
        <v>89</v>
      </c>
      <c r="I13" s="21" t="s">
        <v>90</v>
      </c>
      <c r="J13" s="72">
        <f>11.53/L37*L38</f>
        <v>15.39</v>
      </c>
      <c r="K13" s="9">
        <f t="shared" si="1"/>
        <v>160</v>
      </c>
      <c r="L13" s="73">
        <f t="shared" si="2"/>
        <v>2462.4</v>
      </c>
    </row>
    <row r="14" spans="2:14" ht="20.25" customHeight="1" thickBot="1" x14ac:dyDescent="0.3">
      <c r="B14" s="11" t="s">
        <v>91</v>
      </c>
      <c r="C14" s="21" t="s">
        <v>92</v>
      </c>
      <c r="D14" s="72">
        <v>94.63</v>
      </c>
      <c r="E14" s="9">
        <v>160</v>
      </c>
      <c r="F14" s="73">
        <f t="shared" si="0"/>
        <v>15140.8</v>
      </c>
      <c r="H14" s="11" t="s">
        <v>91</v>
      </c>
      <c r="I14" s="21" t="s">
        <v>92</v>
      </c>
      <c r="J14" s="72">
        <f>65.54/L37*L38</f>
        <v>87.46</v>
      </c>
      <c r="K14" s="9">
        <f t="shared" si="1"/>
        <v>160</v>
      </c>
      <c r="L14" s="73">
        <f t="shared" si="2"/>
        <v>13993.6</v>
      </c>
    </row>
    <row r="15" spans="2:14" ht="15.75" thickBot="1" x14ac:dyDescent="0.3">
      <c r="B15" s="20" t="s">
        <v>93</v>
      </c>
      <c r="C15" s="28" t="s">
        <v>94</v>
      </c>
      <c r="D15" s="29"/>
      <c r="E15" s="29"/>
      <c r="F15" s="30"/>
      <c r="H15" s="20" t="s">
        <v>93</v>
      </c>
      <c r="I15" s="28" t="s">
        <v>94</v>
      </c>
      <c r="J15" s="29"/>
      <c r="K15" s="29"/>
      <c r="L15" s="30"/>
    </row>
    <row r="16" spans="2:14" ht="24" customHeight="1" thickBot="1" x14ac:dyDescent="0.3">
      <c r="B16" s="11" t="s">
        <v>95</v>
      </c>
      <c r="C16" s="2" t="s">
        <v>96</v>
      </c>
      <c r="D16" s="72">
        <v>201.75</v>
      </c>
      <c r="E16" s="3">
        <v>267</v>
      </c>
      <c r="F16" s="73">
        <f>E16*D16</f>
        <v>53867.25</v>
      </c>
      <c r="H16" s="11" t="s">
        <v>95</v>
      </c>
      <c r="I16" s="2" t="s">
        <v>96</v>
      </c>
      <c r="J16" s="72">
        <f>139.49/L37*L38</f>
        <v>186.15</v>
      </c>
      <c r="K16" s="71">
        <f>E16</f>
        <v>267</v>
      </c>
      <c r="L16" s="73">
        <f>J16*K16</f>
        <v>49702.05</v>
      </c>
    </row>
    <row r="17" spans="2:12" ht="32.25" customHeight="1" thickBot="1" x14ac:dyDescent="0.3">
      <c r="B17" s="11" t="s">
        <v>97</v>
      </c>
      <c r="C17" s="2" t="s">
        <v>98</v>
      </c>
      <c r="D17" s="72">
        <v>2.2599999999999998</v>
      </c>
      <c r="E17" s="71">
        <v>8900</v>
      </c>
      <c r="F17" s="73">
        <f t="shared" ref="F17:F28" si="3">E17*D17</f>
        <v>20114</v>
      </c>
      <c r="H17" s="11" t="s">
        <v>97</v>
      </c>
      <c r="I17" s="2" t="s">
        <v>98</v>
      </c>
      <c r="J17" s="72">
        <f>1.55/L37*L38</f>
        <v>2.0699999999999998</v>
      </c>
      <c r="K17" s="71">
        <f t="shared" ref="K17:K27" si="4">E17</f>
        <v>8900</v>
      </c>
      <c r="L17" s="73">
        <f t="shared" ref="L17:L27" si="5">J17*K17</f>
        <v>18423</v>
      </c>
    </row>
    <row r="18" spans="2:12" ht="32.25" customHeight="1" thickBot="1" x14ac:dyDescent="0.3">
      <c r="B18" s="11" t="s">
        <v>99</v>
      </c>
      <c r="C18" s="2" t="s">
        <v>100</v>
      </c>
      <c r="D18" s="72">
        <v>1.99</v>
      </c>
      <c r="E18" s="71">
        <v>17800</v>
      </c>
      <c r="F18" s="73">
        <f t="shared" si="3"/>
        <v>35422</v>
      </c>
      <c r="H18" s="11" t="s">
        <v>99</v>
      </c>
      <c r="I18" s="2" t="s">
        <v>100</v>
      </c>
      <c r="J18" s="72">
        <f>1.37/L37*L38</f>
        <v>1.83</v>
      </c>
      <c r="K18" s="71">
        <f t="shared" si="4"/>
        <v>17800</v>
      </c>
      <c r="L18" s="73">
        <f t="shared" si="5"/>
        <v>32574</v>
      </c>
    </row>
    <row r="19" spans="2:12" ht="32.25" customHeight="1" thickBot="1" x14ac:dyDescent="0.3">
      <c r="B19" s="11" t="s">
        <v>101</v>
      </c>
      <c r="C19" s="2" t="s">
        <v>102</v>
      </c>
      <c r="D19" s="72">
        <v>4.7699999999999996</v>
      </c>
      <c r="E19" s="71">
        <v>5340</v>
      </c>
      <c r="F19" s="73">
        <f t="shared" si="3"/>
        <v>25471.8</v>
      </c>
      <c r="H19" s="11" t="s">
        <v>101</v>
      </c>
      <c r="I19" s="2" t="s">
        <v>102</v>
      </c>
      <c r="J19" s="72">
        <f>3.27/L37*L38</f>
        <v>4.3600000000000003</v>
      </c>
      <c r="K19" s="71">
        <f t="shared" si="4"/>
        <v>5340</v>
      </c>
      <c r="L19" s="73">
        <f t="shared" si="5"/>
        <v>23282.400000000001</v>
      </c>
    </row>
    <row r="20" spans="2:12" ht="32.25" customHeight="1" thickBot="1" x14ac:dyDescent="0.3">
      <c r="B20" s="11" t="s">
        <v>103</v>
      </c>
      <c r="C20" s="2" t="s">
        <v>104</v>
      </c>
      <c r="D20" s="72">
        <v>1.46</v>
      </c>
      <c r="E20" s="71">
        <v>1780</v>
      </c>
      <c r="F20" s="73">
        <f t="shared" si="3"/>
        <v>2598.8000000000002</v>
      </c>
      <c r="H20" s="11" t="s">
        <v>103</v>
      </c>
      <c r="I20" s="2" t="s">
        <v>104</v>
      </c>
      <c r="J20" s="72">
        <f>1/L37*L38</f>
        <v>1.33</v>
      </c>
      <c r="K20" s="71">
        <f t="shared" si="4"/>
        <v>1780</v>
      </c>
      <c r="L20" s="73">
        <f t="shared" si="5"/>
        <v>2367.4</v>
      </c>
    </row>
    <row r="21" spans="2:12" ht="32.25" customHeight="1" thickBot="1" x14ac:dyDescent="0.3">
      <c r="B21" s="11" t="s">
        <v>105</v>
      </c>
      <c r="C21" s="2" t="s">
        <v>106</v>
      </c>
      <c r="D21" s="72">
        <v>39.99</v>
      </c>
      <c r="E21" s="3">
        <v>178</v>
      </c>
      <c r="F21" s="73">
        <f t="shared" si="3"/>
        <v>7118.22</v>
      </c>
      <c r="H21" s="11" t="s">
        <v>105</v>
      </c>
      <c r="I21" s="2" t="s">
        <v>106</v>
      </c>
      <c r="J21" s="72">
        <f>27.65/L37*L38</f>
        <v>36.9</v>
      </c>
      <c r="K21" s="71">
        <f t="shared" si="4"/>
        <v>178</v>
      </c>
      <c r="L21" s="73">
        <f t="shared" si="5"/>
        <v>6568.2</v>
      </c>
    </row>
    <row r="22" spans="2:12" ht="32.25" customHeight="1" thickBot="1" x14ac:dyDescent="0.3">
      <c r="B22" s="11" t="s">
        <v>107</v>
      </c>
      <c r="C22" s="2" t="s">
        <v>108</v>
      </c>
      <c r="D22" s="72">
        <v>5.29</v>
      </c>
      <c r="E22" s="71">
        <v>1780</v>
      </c>
      <c r="F22" s="73">
        <f t="shared" si="3"/>
        <v>9416.2000000000007</v>
      </c>
      <c r="H22" s="11" t="s">
        <v>107</v>
      </c>
      <c r="I22" s="2" t="s">
        <v>108</v>
      </c>
      <c r="J22" s="72">
        <f>3.64/L37*L38</f>
        <v>4.8600000000000003</v>
      </c>
      <c r="K22" s="71">
        <f t="shared" si="4"/>
        <v>1780</v>
      </c>
      <c r="L22" s="73">
        <f t="shared" si="5"/>
        <v>8650.7999999999993</v>
      </c>
    </row>
    <row r="23" spans="2:12" ht="30" thickBot="1" x14ac:dyDescent="0.3">
      <c r="B23" s="11" t="s">
        <v>109</v>
      </c>
      <c r="C23" s="2" t="s">
        <v>110</v>
      </c>
      <c r="D23" s="72">
        <v>5.29</v>
      </c>
      <c r="E23" s="71">
        <v>1780</v>
      </c>
      <c r="F23" s="73">
        <f t="shared" si="3"/>
        <v>9416.2000000000007</v>
      </c>
      <c r="H23" s="11" t="s">
        <v>109</v>
      </c>
      <c r="I23" s="2" t="s">
        <v>110</v>
      </c>
      <c r="J23" s="72">
        <f>3.64/L37*L38</f>
        <v>4.8600000000000003</v>
      </c>
      <c r="K23" s="71">
        <f t="shared" si="4"/>
        <v>1780</v>
      </c>
      <c r="L23" s="73">
        <f t="shared" si="5"/>
        <v>8650.7999999999993</v>
      </c>
    </row>
    <row r="24" spans="2:12" ht="30" thickBot="1" x14ac:dyDescent="0.3">
      <c r="B24" s="11" t="s">
        <v>111</v>
      </c>
      <c r="C24" s="2" t="s">
        <v>112</v>
      </c>
      <c r="D24" s="72">
        <v>2.39</v>
      </c>
      <c r="E24" s="71">
        <v>5340</v>
      </c>
      <c r="F24" s="73">
        <f t="shared" si="3"/>
        <v>12762.6</v>
      </c>
      <c r="H24" s="11" t="s">
        <v>111</v>
      </c>
      <c r="I24" s="2" t="s">
        <v>112</v>
      </c>
      <c r="J24" s="72">
        <f>1.64/L37*L38</f>
        <v>2.19</v>
      </c>
      <c r="K24" s="71">
        <f t="shared" si="4"/>
        <v>5340</v>
      </c>
      <c r="L24" s="73">
        <f>J24*K24</f>
        <v>11694.6</v>
      </c>
    </row>
    <row r="25" spans="2:12" ht="30" thickBot="1" x14ac:dyDescent="0.3">
      <c r="B25" s="11" t="s">
        <v>113</v>
      </c>
      <c r="C25" s="2" t="s">
        <v>114</v>
      </c>
      <c r="D25" s="72">
        <v>1.2</v>
      </c>
      <c r="E25" s="71">
        <v>1780</v>
      </c>
      <c r="F25" s="73">
        <f t="shared" si="3"/>
        <v>2136</v>
      </c>
      <c r="H25" s="11" t="s">
        <v>113</v>
      </c>
      <c r="I25" s="2" t="s">
        <v>114</v>
      </c>
      <c r="J25" s="72">
        <f>0.82/L37*L38</f>
        <v>1.0900000000000001</v>
      </c>
      <c r="K25" s="71">
        <f t="shared" si="4"/>
        <v>1780</v>
      </c>
      <c r="L25" s="73">
        <f>J25*K25</f>
        <v>1940.2</v>
      </c>
    </row>
    <row r="26" spans="2:12" ht="15.75" thickBot="1" x14ac:dyDescent="0.3">
      <c r="B26" s="11" t="s">
        <v>115</v>
      </c>
      <c r="C26" s="2" t="s">
        <v>116</v>
      </c>
      <c r="D26" s="72">
        <v>91.76</v>
      </c>
      <c r="E26" s="71">
        <v>8900</v>
      </c>
      <c r="F26" s="73">
        <f t="shared" si="3"/>
        <v>816664</v>
      </c>
      <c r="H26" s="11" t="s">
        <v>115</v>
      </c>
      <c r="I26" s="2" t="s">
        <v>116</v>
      </c>
      <c r="J26" s="72">
        <f>63.45/L37*L38</f>
        <v>84.67</v>
      </c>
      <c r="K26" s="71">
        <f t="shared" si="4"/>
        <v>8900</v>
      </c>
      <c r="L26" s="73">
        <f>J26*K26</f>
        <v>753563</v>
      </c>
    </row>
    <row r="27" spans="2:12" ht="15.75" thickBot="1" x14ac:dyDescent="0.3">
      <c r="B27" s="11" t="s">
        <v>117</v>
      </c>
      <c r="C27" s="2" t="s">
        <v>118</v>
      </c>
      <c r="D27" s="72">
        <v>0.75</v>
      </c>
      <c r="E27" s="71">
        <v>53400</v>
      </c>
      <c r="F27" s="73">
        <f t="shared" si="3"/>
        <v>40050</v>
      </c>
      <c r="H27" s="11" t="s">
        <v>117</v>
      </c>
      <c r="I27" s="2" t="s">
        <v>118</v>
      </c>
      <c r="J27" s="72">
        <f>0.66/L37*L38</f>
        <v>0.88</v>
      </c>
      <c r="K27" s="71">
        <f t="shared" si="4"/>
        <v>53400</v>
      </c>
      <c r="L27" s="73">
        <f t="shared" si="5"/>
        <v>46992</v>
      </c>
    </row>
    <row r="28" spans="2:12" ht="15.75" thickBot="1" x14ac:dyDescent="0.3">
      <c r="B28" s="1" t="s">
        <v>119</v>
      </c>
      <c r="C28" s="2" t="s">
        <v>120</v>
      </c>
      <c r="D28" s="72">
        <v>2.5</v>
      </c>
      <c r="E28" s="3">
        <v>1780</v>
      </c>
      <c r="F28" s="73">
        <f t="shared" si="3"/>
        <v>4450</v>
      </c>
      <c r="H28" s="1" t="s">
        <v>119</v>
      </c>
      <c r="I28" s="2" t="s">
        <v>120</v>
      </c>
      <c r="J28" s="93"/>
      <c r="K28" s="94"/>
      <c r="L28" s="95"/>
    </row>
    <row r="29" spans="2:12" ht="15.75" thickBot="1" x14ac:dyDescent="0.3">
      <c r="B29" s="22"/>
      <c r="C29" s="177" t="s">
        <v>121</v>
      </c>
      <c r="D29" s="178"/>
      <c r="E29" s="179"/>
      <c r="F29" s="76">
        <f>SUM(F5:F28)</f>
        <v>1681712.01</v>
      </c>
      <c r="H29" s="22"/>
      <c r="I29" s="177" t="s">
        <v>121</v>
      </c>
      <c r="J29" s="178"/>
      <c r="K29" s="179"/>
      <c r="L29" s="76">
        <f>SUM(L5:L28)</f>
        <v>1561481</v>
      </c>
    </row>
    <row r="30" spans="2:12" ht="31.5" hidden="1" customHeight="1" thickBot="1" x14ac:dyDescent="0.3">
      <c r="B30" s="171" t="s">
        <v>122</v>
      </c>
      <c r="C30" s="172"/>
      <c r="D30" s="172"/>
      <c r="E30" s="172"/>
      <c r="F30" s="173"/>
      <c r="H30" s="171" t="s">
        <v>122</v>
      </c>
      <c r="I30" s="172"/>
      <c r="J30" s="172"/>
      <c r="K30" s="172"/>
      <c r="L30" s="173"/>
    </row>
    <row r="31" spans="2:12" ht="15.75" hidden="1" thickBot="1" x14ac:dyDescent="0.3">
      <c r="B31" s="171" t="s">
        <v>123</v>
      </c>
      <c r="C31" s="172"/>
      <c r="D31" s="172"/>
      <c r="E31" s="172"/>
      <c r="F31" s="173"/>
      <c r="H31" s="171" t="s">
        <v>123</v>
      </c>
      <c r="I31" s="172"/>
      <c r="J31" s="172"/>
      <c r="K31" s="172"/>
      <c r="L31" s="173"/>
    </row>
    <row r="32" spans="2:12" ht="15.75" hidden="1" thickBot="1" x14ac:dyDescent="0.3">
      <c r="B32" s="171" t="s">
        <v>124</v>
      </c>
      <c r="C32" s="172"/>
      <c r="D32" s="172"/>
      <c r="E32" s="172"/>
      <c r="F32" s="173"/>
      <c r="H32" s="171" t="s">
        <v>124</v>
      </c>
      <c r="I32" s="172"/>
      <c r="J32" s="172"/>
      <c r="K32" s="172"/>
      <c r="L32" s="173"/>
    </row>
    <row r="33" spans="2:12" ht="15.75" hidden="1" thickBot="1" x14ac:dyDescent="0.3">
      <c r="B33" s="171" t="s">
        <v>125</v>
      </c>
      <c r="C33" s="172"/>
      <c r="D33" s="172"/>
      <c r="E33" s="172"/>
      <c r="F33" s="173"/>
      <c r="H33" s="171" t="s">
        <v>125</v>
      </c>
      <c r="I33" s="172"/>
      <c r="J33" s="172"/>
      <c r="K33" s="172"/>
      <c r="L33" s="173"/>
    </row>
    <row r="34" spans="2:12" ht="15.75" hidden="1" thickBot="1" x14ac:dyDescent="0.3">
      <c r="B34" s="171" t="s">
        <v>126</v>
      </c>
      <c r="C34" s="172"/>
      <c r="D34" s="172"/>
      <c r="E34" s="172"/>
      <c r="F34" s="173"/>
      <c r="H34" s="171" t="s">
        <v>126</v>
      </c>
      <c r="I34" s="172"/>
      <c r="J34" s="172"/>
      <c r="K34" s="172"/>
      <c r="L34" s="173"/>
    </row>
    <row r="35" spans="2:12" ht="31.5" hidden="1" customHeight="1" thickBot="1" x14ac:dyDescent="0.3">
      <c r="B35" s="174" t="s">
        <v>127</v>
      </c>
      <c r="C35" s="175"/>
      <c r="D35" s="175"/>
      <c r="E35" s="175"/>
      <c r="F35" s="176"/>
      <c r="H35" s="174" t="s">
        <v>127</v>
      </c>
      <c r="I35" s="175"/>
      <c r="J35" s="175"/>
      <c r="K35" s="175"/>
      <c r="L35" s="176"/>
    </row>
    <row r="36" spans="2:12" ht="15.75" thickBot="1" x14ac:dyDescent="0.3">
      <c r="L36" s="123"/>
    </row>
    <row r="37" spans="2:12" ht="38.25" customHeight="1" thickBot="1" x14ac:dyDescent="0.3">
      <c r="I37" s="160" t="s">
        <v>197</v>
      </c>
      <c r="J37" s="161"/>
      <c r="K37" s="162"/>
      <c r="L37" s="104">
        <v>4.1837</v>
      </c>
    </row>
    <row r="38" spans="2:12" ht="27" customHeight="1" thickBot="1" x14ac:dyDescent="0.3">
      <c r="I38" s="163" t="s">
        <v>203</v>
      </c>
      <c r="J38" s="164"/>
      <c r="K38" s="165"/>
      <c r="L38" s="104">
        <v>5.5831999999999997</v>
      </c>
    </row>
    <row r="39" spans="2:12" ht="16.5" customHeight="1" x14ac:dyDescent="0.25">
      <c r="I39" s="97"/>
      <c r="J39" s="97"/>
      <c r="K39" s="97"/>
      <c r="L39" s="97"/>
    </row>
    <row r="40" spans="2:12" x14ac:dyDescent="0.25">
      <c r="I40" s="125"/>
      <c r="J40" s="125"/>
      <c r="K40" s="126"/>
      <c r="L40" s="127"/>
    </row>
    <row r="41" spans="2:12" x14ac:dyDescent="0.25">
      <c r="I41" s="97"/>
      <c r="J41" s="97"/>
      <c r="K41" s="97"/>
      <c r="L41" s="97"/>
    </row>
    <row r="43" spans="2:12" x14ac:dyDescent="0.25">
      <c r="L43" s="44"/>
    </row>
  </sheetData>
  <mergeCells count="20">
    <mergeCell ref="H34:L34"/>
    <mergeCell ref="H35:L35"/>
    <mergeCell ref="I37:K37"/>
    <mergeCell ref="I38:K38"/>
    <mergeCell ref="B1:F1"/>
    <mergeCell ref="H1:L1"/>
    <mergeCell ref="B34:F34"/>
    <mergeCell ref="B35:F35"/>
    <mergeCell ref="C4:F4"/>
    <mergeCell ref="C29:E29"/>
    <mergeCell ref="B30:F30"/>
    <mergeCell ref="B31:F31"/>
    <mergeCell ref="B32:F32"/>
    <mergeCell ref="I4:L4"/>
    <mergeCell ref="I29:K29"/>
    <mergeCell ref="H30:L30"/>
    <mergeCell ref="H31:L31"/>
    <mergeCell ref="B33:F33"/>
    <mergeCell ref="H32:L32"/>
    <mergeCell ref="H33:L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33"/>
  <sheetViews>
    <sheetView topLeftCell="A7" zoomScaleNormal="100" workbookViewId="0">
      <selection activeCell="F6" sqref="F6"/>
    </sheetView>
  </sheetViews>
  <sheetFormatPr defaultRowHeight="15" x14ac:dyDescent="0.25"/>
  <cols>
    <col min="2" max="2" width="33.5703125" customWidth="1"/>
    <col min="3" max="3" width="16.140625" customWidth="1"/>
    <col min="4" max="6" width="18" customWidth="1"/>
    <col min="7" max="7" width="17.28515625" customWidth="1"/>
  </cols>
  <sheetData>
    <row r="1" spans="2:7" x14ac:dyDescent="0.25">
      <c r="B1" s="183" t="s">
        <v>189</v>
      </c>
      <c r="C1" s="183"/>
      <c r="D1" s="183"/>
      <c r="E1" s="183"/>
      <c r="F1" s="183"/>
      <c r="G1" s="183"/>
    </row>
    <row r="2" spans="2:7" ht="15.75" thickBot="1" x14ac:dyDescent="0.3"/>
    <row r="3" spans="2:7" ht="15.75" thickBot="1" x14ac:dyDescent="0.3">
      <c r="C3" s="184" t="s">
        <v>192</v>
      </c>
      <c r="D3" s="185"/>
      <c r="E3" s="186"/>
      <c r="F3" s="187" t="s">
        <v>183</v>
      </c>
    </row>
    <row r="4" spans="2:7" ht="30.75" thickBot="1" x14ac:dyDescent="0.3">
      <c r="B4" s="25" t="s">
        <v>128</v>
      </c>
      <c r="C4" s="26" t="s">
        <v>129</v>
      </c>
      <c r="D4" s="26" t="s">
        <v>130</v>
      </c>
      <c r="E4" s="26" t="s">
        <v>191</v>
      </c>
      <c r="F4" s="188"/>
      <c r="G4" s="92" t="s">
        <v>185</v>
      </c>
    </row>
    <row r="5" spans="2:7" ht="20.25" customHeight="1" thickBot="1" x14ac:dyDescent="0.3">
      <c r="B5" s="27" t="s">
        <v>131</v>
      </c>
      <c r="C5" s="77">
        <v>241.71</v>
      </c>
      <c r="D5" s="77">
        <v>23.69</v>
      </c>
      <c r="E5" s="78">
        <f>D5+C5</f>
        <v>265.39999999999998</v>
      </c>
      <c r="F5" s="77">
        <v>162.16</v>
      </c>
      <c r="G5" s="80">
        <f>AVERAGE(E5:F5)</f>
        <v>213.78</v>
      </c>
    </row>
    <row r="6" spans="2:7" ht="20.25" customHeight="1" thickBot="1" x14ac:dyDescent="0.3">
      <c r="B6" s="27" t="s">
        <v>132</v>
      </c>
      <c r="C6" s="77">
        <v>87.52</v>
      </c>
      <c r="D6" s="77">
        <v>23.69</v>
      </c>
      <c r="E6" s="78">
        <f t="shared" ref="E6:E31" si="0">D6+C6</f>
        <v>111.21</v>
      </c>
      <c r="F6" s="77">
        <v>144.72999999999999</v>
      </c>
      <c r="G6" s="80">
        <f t="shared" ref="G6:G31" si="1">AVERAGE(E6:F6)</f>
        <v>127.97</v>
      </c>
    </row>
    <row r="7" spans="2:7" ht="20.25" customHeight="1" thickBot="1" x14ac:dyDescent="0.3">
      <c r="B7" s="27" t="s">
        <v>133</v>
      </c>
      <c r="C7" s="77">
        <v>121.96</v>
      </c>
      <c r="D7" s="77">
        <v>23.69</v>
      </c>
      <c r="E7" s="78">
        <f t="shared" si="0"/>
        <v>145.65</v>
      </c>
      <c r="F7" s="77">
        <v>147.19999999999999</v>
      </c>
      <c r="G7" s="80">
        <f t="shared" si="1"/>
        <v>146.43</v>
      </c>
    </row>
    <row r="8" spans="2:7" ht="20.25" customHeight="1" thickBot="1" x14ac:dyDescent="0.3">
      <c r="B8" s="27" t="s">
        <v>134</v>
      </c>
      <c r="C8" s="77">
        <v>243.2</v>
      </c>
      <c r="D8" s="77">
        <v>23.69</v>
      </c>
      <c r="E8" s="78">
        <f t="shared" si="0"/>
        <v>266.89</v>
      </c>
      <c r="F8" s="77">
        <v>149.75</v>
      </c>
      <c r="G8" s="80">
        <f t="shared" si="1"/>
        <v>208.32</v>
      </c>
    </row>
    <row r="9" spans="2:7" ht="20.25" customHeight="1" thickBot="1" x14ac:dyDescent="0.3">
      <c r="B9" s="27" t="s">
        <v>135</v>
      </c>
      <c r="C9" s="77">
        <v>79.209999999999994</v>
      </c>
      <c r="D9" s="77">
        <v>23.69</v>
      </c>
      <c r="E9" s="78">
        <f t="shared" si="0"/>
        <v>102.9</v>
      </c>
      <c r="F9" s="77">
        <v>115.94</v>
      </c>
      <c r="G9" s="80">
        <f t="shared" si="1"/>
        <v>109.42</v>
      </c>
    </row>
    <row r="10" spans="2:7" ht="20.25" customHeight="1" thickBot="1" x14ac:dyDescent="0.3">
      <c r="B10" s="27" t="s">
        <v>136</v>
      </c>
      <c r="C10" s="77">
        <v>92.06</v>
      </c>
      <c r="D10" s="77">
        <v>23.69</v>
      </c>
      <c r="E10" s="78">
        <f t="shared" si="0"/>
        <v>115.75</v>
      </c>
      <c r="F10" s="77">
        <v>149.75</v>
      </c>
      <c r="G10" s="80">
        <f t="shared" si="1"/>
        <v>132.75</v>
      </c>
    </row>
    <row r="11" spans="2:7" ht="20.25" customHeight="1" thickBot="1" x14ac:dyDescent="0.3">
      <c r="B11" s="27" t="s">
        <v>137</v>
      </c>
      <c r="C11" s="77">
        <v>30.7</v>
      </c>
      <c r="D11" s="77">
        <v>23.69</v>
      </c>
      <c r="E11" s="78">
        <f t="shared" si="0"/>
        <v>54.39</v>
      </c>
      <c r="F11" s="77">
        <v>84.61</v>
      </c>
      <c r="G11" s="80">
        <f t="shared" si="1"/>
        <v>69.5</v>
      </c>
    </row>
    <row r="12" spans="2:7" ht="20.25" customHeight="1" thickBot="1" x14ac:dyDescent="0.3">
      <c r="B12" s="27" t="s">
        <v>138</v>
      </c>
      <c r="C12" s="77">
        <v>27.74</v>
      </c>
      <c r="D12" s="77">
        <v>23.69</v>
      </c>
      <c r="E12" s="78">
        <f t="shared" si="0"/>
        <v>51.43</v>
      </c>
      <c r="F12" s="77">
        <v>84.61</v>
      </c>
      <c r="G12" s="80">
        <f t="shared" si="1"/>
        <v>68.02</v>
      </c>
    </row>
    <row r="13" spans="2:7" ht="20.25" customHeight="1" thickBot="1" x14ac:dyDescent="0.3">
      <c r="B13" s="27" t="s">
        <v>139</v>
      </c>
      <c r="C13" s="77">
        <v>31.61</v>
      </c>
      <c r="D13" s="77">
        <v>23.69</v>
      </c>
      <c r="E13" s="78">
        <f t="shared" si="0"/>
        <v>55.3</v>
      </c>
      <c r="F13" s="77">
        <v>84.61</v>
      </c>
      <c r="G13" s="80">
        <f t="shared" si="1"/>
        <v>69.959999999999994</v>
      </c>
    </row>
    <row r="14" spans="2:7" ht="20.25" customHeight="1" thickBot="1" x14ac:dyDescent="0.3">
      <c r="B14" s="27" t="s">
        <v>140</v>
      </c>
      <c r="C14" s="77">
        <v>114.82</v>
      </c>
      <c r="D14" s="77">
        <v>23.69</v>
      </c>
      <c r="E14" s="78">
        <f t="shared" si="0"/>
        <v>138.51</v>
      </c>
      <c r="F14" s="77">
        <v>149.75</v>
      </c>
      <c r="G14" s="80">
        <f t="shared" si="1"/>
        <v>144.13</v>
      </c>
    </row>
    <row r="15" spans="2:7" ht="20.25" customHeight="1" thickBot="1" x14ac:dyDescent="0.3">
      <c r="B15" s="27" t="s">
        <v>141</v>
      </c>
      <c r="C15" s="77">
        <v>78.540000000000006</v>
      </c>
      <c r="D15" s="77">
        <v>23.69</v>
      </c>
      <c r="E15" s="78">
        <f t="shared" si="0"/>
        <v>102.23</v>
      </c>
      <c r="F15" s="77">
        <v>115.94</v>
      </c>
      <c r="G15" s="80">
        <f t="shared" si="1"/>
        <v>109.09</v>
      </c>
    </row>
    <row r="16" spans="2:7" ht="20.25" customHeight="1" thickBot="1" x14ac:dyDescent="0.3">
      <c r="B16" s="27" t="s">
        <v>142</v>
      </c>
      <c r="C16" s="77">
        <v>78.680000000000007</v>
      </c>
      <c r="D16" s="77">
        <v>23.69</v>
      </c>
      <c r="E16" s="78">
        <f t="shared" si="0"/>
        <v>102.37</v>
      </c>
      <c r="F16" s="77">
        <v>84.61</v>
      </c>
      <c r="G16" s="80">
        <f t="shared" si="1"/>
        <v>93.49</v>
      </c>
    </row>
    <row r="17" spans="2:7" ht="20.25" customHeight="1" thickBot="1" x14ac:dyDescent="0.3">
      <c r="B17" s="27" t="s">
        <v>143</v>
      </c>
      <c r="C17" s="77">
        <v>25.49</v>
      </c>
      <c r="D17" s="77">
        <v>23.69</v>
      </c>
      <c r="E17" s="78">
        <f t="shared" si="0"/>
        <v>49.18</v>
      </c>
      <c r="F17" s="77">
        <v>84.61</v>
      </c>
      <c r="G17" s="80">
        <f t="shared" si="1"/>
        <v>66.900000000000006</v>
      </c>
    </row>
    <row r="18" spans="2:7" ht="20.25" customHeight="1" thickBot="1" x14ac:dyDescent="0.3">
      <c r="B18" s="27" t="s">
        <v>144</v>
      </c>
      <c r="C18" s="77">
        <v>173.08</v>
      </c>
      <c r="D18" s="77">
        <v>23.69</v>
      </c>
      <c r="E18" s="78">
        <f t="shared" si="0"/>
        <v>196.77</v>
      </c>
      <c r="F18" s="77">
        <v>151.68</v>
      </c>
      <c r="G18" s="80">
        <f t="shared" si="1"/>
        <v>174.23</v>
      </c>
    </row>
    <row r="19" spans="2:7" ht="20.25" customHeight="1" thickBot="1" x14ac:dyDescent="0.3">
      <c r="B19" s="27" t="s">
        <v>145</v>
      </c>
      <c r="C19" s="77">
        <v>86.81</v>
      </c>
      <c r="D19" s="77">
        <v>23.69</v>
      </c>
      <c r="E19" s="78">
        <f t="shared" si="0"/>
        <v>110.5</v>
      </c>
      <c r="F19" s="77">
        <v>149.75</v>
      </c>
      <c r="G19" s="80">
        <f t="shared" si="1"/>
        <v>130.13</v>
      </c>
    </row>
    <row r="20" spans="2:7" ht="20.25" customHeight="1" thickBot="1" x14ac:dyDescent="0.3">
      <c r="B20" s="27" t="s">
        <v>146</v>
      </c>
      <c r="C20" s="77">
        <v>18.59</v>
      </c>
      <c r="D20" s="77">
        <v>23.69</v>
      </c>
      <c r="E20" s="78">
        <f t="shared" si="0"/>
        <v>42.28</v>
      </c>
      <c r="F20" s="77">
        <v>84.61</v>
      </c>
      <c r="G20" s="80">
        <f t="shared" si="1"/>
        <v>63.45</v>
      </c>
    </row>
    <row r="21" spans="2:7" ht="20.25" customHeight="1" thickBot="1" x14ac:dyDescent="0.3">
      <c r="B21" s="27" t="s">
        <v>147</v>
      </c>
      <c r="C21" s="77">
        <v>88.1</v>
      </c>
      <c r="D21" s="77">
        <v>23.69</v>
      </c>
      <c r="E21" s="78">
        <f t="shared" si="0"/>
        <v>111.79</v>
      </c>
      <c r="F21" s="77">
        <v>149.75</v>
      </c>
      <c r="G21" s="80">
        <f t="shared" si="1"/>
        <v>130.77000000000001</v>
      </c>
    </row>
    <row r="22" spans="2:7" ht="20.25" customHeight="1" thickBot="1" x14ac:dyDescent="0.3">
      <c r="B22" s="27" t="s">
        <v>148</v>
      </c>
      <c r="C22" s="77">
        <v>100.07</v>
      </c>
      <c r="D22" s="77">
        <v>23.69</v>
      </c>
      <c r="E22" s="78">
        <f t="shared" si="0"/>
        <v>123.76</v>
      </c>
      <c r="F22" s="77">
        <v>149.75</v>
      </c>
      <c r="G22" s="80">
        <f t="shared" si="1"/>
        <v>136.76</v>
      </c>
    </row>
    <row r="23" spans="2:7" ht="20.25" customHeight="1" thickBot="1" x14ac:dyDescent="0.3">
      <c r="B23" s="27" t="s">
        <v>149</v>
      </c>
      <c r="C23" s="77">
        <v>27.3</v>
      </c>
      <c r="D23" s="77">
        <v>23.69</v>
      </c>
      <c r="E23" s="78">
        <f t="shared" si="0"/>
        <v>50.99</v>
      </c>
      <c r="F23" s="77">
        <v>84.61</v>
      </c>
      <c r="G23" s="80">
        <f t="shared" si="1"/>
        <v>67.8</v>
      </c>
    </row>
    <row r="24" spans="2:7" ht="20.25" customHeight="1" thickBot="1" x14ac:dyDescent="0.3">
      <c r="B24" s="27" t="s">
        <v>150</v>
      </c>
      <c r="C24" s="77">
        <v>84.02</v>
      </c>
      <c r="D24" s="77">
        <v>23.69</v>
      </c>
      <c r="E24" s="78">
        <f t="shared" si="0"/>
        <v>107.71</v>
      </c>
      <c r="F24" s="77">
        <v>149.75</v>
      </c>
      <c r="G24" s="80">
        <f t="shared" si="1"/>
        <v>128.72999999999999</v>
      </c>
    </row>
    <row r="25" spans="2:7" ht="20.25" customHeight="1" thickBot="1" x14ac:dyDescent="0.3">
      <c r="B25" s="27" t="s">
        <v>151</v>
      </c>
      <c r="C25" s="77">
        <v>24.81</v>
      </c>
      <c r="D25" s="77">
        <v>23.69</v>
      </c>
      <c r="E25" s="78">
        <f t="shared" si="0"/>
        <v>48.5</v>
      </c>
      <c r="F25" s="77">
        <v>84.61</v>
      </c>
      <c r="G25" s="80">
        <f t="shared" si="1"/>
        <v>66.56</v>
      </c>
    </row>
    <row r="26" spans="2:7" ht="20.25" customHeight="1" thickBot="1" x14ac:dyDescent="0.3">
      <c r="B26" s="27" t="s">
        <v>152</v>
      </c>
      <c r="C26" s="77">
        <v>262.99</v>
      </c>
      <c r="D26" s="77">
        <v>23.69</v>
      </c>
      <c r="E26" s="78">
        <f t="shared" si="0"/>
        <v>286.68</v>
      </c>
      <c r="F26" s="77">
        <v>147.19999999999999</v>
      </c>
      <c r="G26" s="80">
        <f t="shared" si="1"/>
        <v>216.94</v>
      </c>
    </row>
    <row r="27" spans="2:7" ht="20.25" customHeight="1" thickBot="1" x14ac:dyDescent="0.3">
      <c r="B27" s="27" t="s">
        <v>153</v>
      </c>
      <c r="C27" s="77">
        <v>260.62</v>
      </c>
      <c r="D27" s="77">
        <v>23.69</v>
      </c>
      <c r="E27" s="78">
        <f t="shared" si="0"/>
        <v>284.31</v>
      </c>
      <c r="F27" s="77">
        <v>147.94</v>
      </c>
      <c r="G27" s="80">
        <f t="shared" si="1"/>
        <v>216.13</v>
      </c>
    </row>
    <row r="28" spans="2:7" ht="20.25" customHeight="1" thickBot="1" x14ac:dyDescent="0.3">
      <c r="B28" s="27" t="s">
        <v>154</v>
      </c>
      <c r="C28" s="77">
        <v>22.75</v>
      </c>
      <c r="D28" s="77">
        <v>23.69</v>
      </c>
      <c r="E28" s="78">
        <f t="shared" si="0"/>
        <v>46.44</v>
      </c>
      <c r="F28" s="77">
        <v>84.61</v>
      </c>
      <c r="G28" s="80">
        <f t="shared" si="1"/>
        <v>65.53</v>
      </c>
    </row>
    <row r="29" spans="2:7" ht="20.25" customHeight="1" thickBot="1" x14ac:dyDescent="0.3">
      <c r="B29" s="27" t="s">
        <v>155</v>
      </c>
      <c r="C29" s="77">
        <v>88.16</v>
      </c>
      <c r="D29" s="77">
        <v>23.69</v>
      </c>
      <c r="E29" s="78">
        <f t="shared" si="0"/>
        <v>111.85</v>
      </c>
      <c r="F29" s="77">
        <v>90.87</v>
      </c>
      <c r="G29" s="80">
        <f t="shared" si="1"/>
        <v>101.36</v>
      </c>
    </row>
    <row r="30" spans="2:7" ht="20.25" customHeight="1" thickBot="1" x14ac:dyDescent="0.3">
      <c r="B30" s="27" t="s">
        <v>156</v>
      </c>
      <c r="C30" s="77">
        <v>21.53</v>
      </c>
      <c r="D30" s="77">
        <v>23.69</v>
      </c>
      <c r="E30" s="78">
        <f t="shared" si="0"/>
        <v>45.22</v>
      </c>
      <c r="F30" s="77">
        <v>121.97</v>
      </c>
      <c r="G30" s="80">
        <f t="shared" si="1"/>
        <v>83.6</v>
      </c>
    </row>
    <row r="31" spans="2:7" ht="20.25" customHeight="1" thickBot="1" x14ac:dyDescent="0.3">
      <c r="B31" s="27" t="s">
        <v>157</v>
      </c>
      <c r="C31" s="77">
        <v>161.33000000000001</v>
      </c>
      <c r="D31" s="77">
        <v>23.69</v>
      </c>
      <c r="E31" s="78">
        <f t="shared" si="0"/>
        <v>185.02</v>
      </c>
      <c r="F31" s="77">
        <v>114.56</v>
      </c>
      <c r="G31" s="80">
        <f t="shared" si="1"/>
        <v>149.79</v>
      </c>
    </row>
    <row r="32" spans="2:7" ht="15.75" thickBot="1" x14ac:dyDescent="0.3">
      <c r="B32" s="180" t="s">
        <v>184</v>
      </c>
      <c r="C32" s="181"/>
      <c r="D32" s="182"/>
      <c r="E32" s="79">
        <f t="shared" ref="E32" si="2">AVERAGE(E5:E31)</f>
        <v>122.7</v>
      </c>
      <c r="F32" s="79">
        <f>AVERAGE(F5:F31)</f>
        <v>121.11</v>
      </c>
      <c r="G32" s="79">
        <f>AVERAGE(G5:G31)</f>
        <v>121.91</v>
      </c>
    </row>
    <row r="33" spans="3:6" x14ac:dyDescent="0.25">
      <c r="C33" s="44"/>
      <c r="D33" s="44"/>
      <c r="E33" s="44"/>
      <c r="F33" s="44"/>
    </row>
  </sheetData>
  <mergeCells count="4">
    <mergeCell ref="B32:D32"/>
    <mergeCell ref="B1:G1"/>
    <mergeCell ref="C3:E3"/>
    <mergeCell ref="F3:F4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Tabela D 1</vt:lpstr>
      <vt:lpstr>Tabela D 2</vt:lpstr>
      <vt:lpstr>Tabela D 3</vt:lpstr>
      <vt:lpstr>Tabela D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rafael.pires</dc:creator>
  <cp:lastModifiedBy>Lílian Mesquita Silva</cp:lastModifiedBy>
  <dcterms:created xsi:type="dcterms:W3CDTF">2020-12-29T10:57:07Z</dcterms:created>
  <dcterms:modified xsi:type="dcterms:W3CDTF">2021-04-14T12:23:19Z</dcterms:modified>
</cp:coreProperties>
</file>